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509"/>
  <workbookPr codeName="ThisWorkbook"/>
  <mc:AlternateContent xmlns:mc="http://schemas.openxmlformats.org/markup-compatibility/2006">
    <mc:Choice Requires="x15">
      <x15ac:absPath xmlns:x15ac="http://schemas.microsoft.com/office/spreadsheetml/2010/11/ac" url="/Users/gblake/Downloads/"/>
    </mc:Choice>
  </mc:AlternateContent>
  <xr:revisionPtr revIDLastSave="0" documentId="13_ncr:1_{7B56DFAA-1BF9-FA4E-BA01-6BFB2FEF7AC0}" xr6:coauthVersionLast="47" xr6:coauthVersionMax="47" xr10:uidLastSave="{00000000-0000-0000-0000-000000000000}"/>
  <bookViews>
    <workbookView xWindow="0" yWindow="580" windowWidth="35840" windowHeight="19980" tabRatio="932" xr2:uid="{00000000-000D-0000-FFFF-FFFF00000000}"/>
  </bookViews>
  <sheets>
    <sheet name="Introduction" sheetId="34" r:id="rId1"/>
    <sheet name="Credentials" sheetId="15" r:id="rId2"/>
    <sheet name="Hosts and Networks" sheetId="4" r:id="rId3"/>
    <sheet name="Lookup_Lists" sheetId="33" state="hidden" r:id="rId4"/>
    <sheet name="Deploy Parameters" sheetId="2" r:id="rId5"/>
    <sheet name="Config_File_Build" sheetId="16" state="hidden" r:id="rId6"/>
    <sheet name="Change Log" sheetId="32" state="hidden" r:id="rId7"/>
  </sheets>
  <externalReferences>
    <externalReference r:id="rId8"/>
    <externalReference r:id="rId9"/>
  </externalReferences>
  <definedNames>
    <definedName name="Authentication" localSheetId="0">#REF!</definedName>
    <definedName name="Authentication">#REF!</definedName>
    <definedName name="Configuration_Mode" localSheetId="0">#REF!</definedName>
    <definedName name="Database_Type" localSheetId="0">#REF!</definedName>
    <definedName name="esx_license_std">'[1]Deploy Parameters'!$F$12</definedName>
    <definedName name="EVC_Settings" localSheetId="0">[2]Lookup_Lists!$A$2:$A$20</definedName>
    <definedName name="EVC_Settings">Lookup_Lists!$A$2:$A$22</definedName>
    <definedName name="_xlnm.Print_Area" localSheetId="1">Credentials!$B$1:$B$1</definedName>
    <definedName name="_xlnm.Print_Area" localSheetId="4">'Deploy Parameters'!$B$1:$D$38</definedName>
    <definedName name="SRM_Certificates" localSheetId="0">#REF!</definedName>
    <definedName name="SSL_Policy" localSheetId="0">#REF!</definedName>
    <definedName name="System_Type" localSheetId="0">#REF!</definedName>
    <definedName name="Timezone_Index">#REF!</definedName>
    <definedName name="valuevx">42.314159</definedName>
    <definedName name="vds_Profiles">Lookup_Lists!$C$1:$C$6</definedName>
    <definedName name="VR_Database_Type" localSheetId="0">#REF!</definedName>
    <definedName name="vRB_Currencies">#REF!</definedName>
  </definedName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A4" i="16" l="1"/>
  <c r="A87" i="16" l="1"/>
  <c r="B15" i="2" l="1"/>
  <c r="A157" i="16"/>
  <c r="A48" i="16"/>
  <c r="A43" i="16"/>
  <c r="A27" i="16"/>
  <c r="A18" i="16"/>
  <c r="A5" i="16"/>
  <c r="A91" i="16"/>
  <c r="A90" i="16"/>
  <c r="A89" i="16"/>
  <c r="A88" i="16"/>
  <c r="A86" i="16"/>
  <c r="A183" i="16" l="1"/>
  <c r="I21" i="4" l="1"/>
  <c r="A188" i="16" l="1"/>
  <c r="A189" i="16" l="1"/>
  <c r="A187" i="16"/>
  <c r="A186" i="16"/>
  <c r="A185" i="16"/>
  <c r="A184" i="16"/>
  <c r="A73" i="16"/>
  <c r="A72" i="16"/>
  <c r="A70" i="16"/>
  <c r="A69" i="16"/>
  <c r="A68" i="16"/>
  <c r="A66" i="16"/>
  <c r="A65" i="16"/>
  <c r="A67" i="16"/>
  <c r="A63" i="16"/>
  <c r="I15" i="4"/>
  <c r="I14" i="4"/>
  <c r="I19" i="4"/>
  <c r="I18" i="4"/>
  <c r="I17" i="4"/>
  <c r="I16" i="4"/>
  <c r="A83" i="16" l="1"/>
  <c r="A82" i="16"/>
  <c r="A81" i="16"/>
  <c r="A80" i="16"/>
  <c r="A79" i="16"/>
  <c r="I28" i="2"/>
  <c r="A21" i="16" l="1"/>
  <c r="C6" i="33" l="1"/>
  <c r="G17" i="4"/>
  <c r="G18" i="4" s="1"/>
  <c r="G13" i="4"/>
  <c r="G14" i="4" s="1"/>
  <c r="C4" i="33" l="1"/>
  <c r="C2" i="33"/>
  <c r="G19" i="4"/>
  <c r="G15" i="4"/>
  <c r="C5" i="33" s="1"/>
  <c r="C3" i="33" l="1"/>
  <c r="A24" i="16" l="1"/>
  <c r="A179" i="16" l="1"/>
  <c r="A176" i="16"/>
  <c r="A127" i="16" l="1"/>
  <c r="A128" i="16"/>
  <c r="A129" i="16"/>
  <c r="A178" i="16" l="1"/>
  <c r="A174" i="16"/>
  <c r="A173" i="16"/>
  <c r="A172" i="16"/>
  <c r="A171" i="16"/>
  <c r="A170" i="16"/>
  <c r="A169" i="16"/>
  <c r="A168" i="16"/>
  <c r="A167" i="16"/>
  <c r="A159" i="16"/>
  <c r="B32" i="2"/>
  <c r="B39" i="2"/>
  <c r="A163" i="16"/>
  <c r="A162" i="16"/>
  <c r="A161" i="16"/>
  <c r="B27" i="2"/>
  <c r="B26" i="2"/>
  <c r="B25" i="2"/>
  <c r="B24" i="2"/>
  <c r="B23" i="2"/>
  <c r="B12" i="2"/>
  <c r="B6" i="2"/>
  <c r="B7" i="2"/>
  <c r="A146" i="16" l="1"/>
  <c r="A145" i="16"/>
  <c r="A147" i="16"/>
  <c r="A151" i="16"/>
  <c r="A143" i="16"/>
  <c r="B22" i="2" l="1"/>
  <c r="A3" i="16" l="1"/>
  <c r="A109" i="16" l="1"/>
  <c r="A108" i="16"/>
  <c r="A111" i="16"/>
  <c r="A40" i="16" l="1"/>
  <c r="A39" i="16"/>
  <c r="A38" i="16"/>
  <c r="A37" i="16"/>
  <c r="A139" i="16" l="1"/>
  <c r="A138" i="16"/>
  <c r="A136" i="16"/>
  <c r="A135" i="16"/>
  <c r="A133" i="16"/>
  <c r="A132" i="16"/>
  <c r="A153" i="16"/>
  <c r="A152" i="16"/>
  <c r="A150" i="16"/>
  <c r="A149" i="16"/>
  <c r="A148" i="16"/>
  <c r="A144" i="16"/>
  <c r="A142" i="16"/>
  <c r="A2" i="16" l="1"/>
  <c r="A102" i="16" l="1"/>
  <c r="A124" i="16" l="1"/>
  <c r="A123" i="16"/>
  <c r="A122" i="16"/>
  <c r="A119" i="16"/>
  <c r="A118" i="16"/>
  <c r="A117" i="16"/>
  <c r="A14" i="16" l="1"/>
  <c r="A51" i="16" l="1"/>
  <c r="A50" i="16"/>
  <c r="A53" i="16" l="1"/>
  <c r="A121" i="16" l="1"/>
  <c r="A120" i="16"/>
  <c r="A116" i="16"/>
  <c r="A115" i="16"/>
  <c r="A105" i="16"/>
  <c r="A23" i="16"/>
  <c r="A22" i="16"/>
  <c r="A20" i="16"/>
  <c r="A19" i="16"/>
  <c r="A9" i="16"/>
  <c r="A10" i="16"/>
  <c r="A33" i="16"/>
  <c r="A28" i="16"/>
  <c r="A32" i="16"/>
  <c r="A44" i="16"/>
  <c r="A54" i="16"/>
  <c r="A55" i="16"/>
  <c r="A56" i="16"/>
  <c r="A57" i="16"/>
  <c r="A58" i="16"/>
  <c r="A59" i="16"/>
  <c r="A60" i="16"/>
  <c r="A101" i="16"/>
  <c r="A95" i="16"/>
  <c r="A13" i="16"/>
  <c r="A15" i="16"/>
  <c r="A94" i="16"/>
  <c r="A96" i="16"/>
  <c r="A110" i="16"/>
  <c r="A103" i="16"/>
  <c r="A97" i="16"/>
  <c r="A104" i="16"/>
  <c r="A29" i="16"/>
  <c r="A12" i="16"/>
  <c r="A76" i="16"/>
  <c r="H35" i="2"/>
  <c r="H33" i="2"/>
  <c r="A30" i="16"/>
  <c r="A77" i="16"/>
  <c r="A98" i="16"/>
  <c r="A112" i="16"/>
</calcChain>
</file>

<file path=xl/sharedStrings.xml><?xml version="1.0" encoding="utf-8"?>
<sst xmlns="http://schemas.openxmlformats.org/spreadsheetml/2006/main" count="463" uniqueCount="385">
  <si>
    <t>IP Address</t>
  </si>
  <si>
    <t>Infrastructure Information</t>
  </si>
  <si>
    <t>VLAN #</t>
  </si>
  <si>
    <t>Description</t>
  </si>
  <si>
    <t>Gateway</t>
  </si>
  <si>
    <t>n/a</t>
  </si>
  <si>
    <t>root</t>
  </si>
  <si>
    <t>Hostname</t>
  </si>
  <si>
    <t>Username</t>
  </si>
  <si>
    <t>Users</t>
  </si>
  <si>
    <t>Value</t>
  </si>
  <si>
    <t>Infrastructure</t>
  </si>
  <si>
    <t>vSphere Infrastructure</t>
  </si>
  <si>
    <t>vCenter Server</t>
  </si>
  <si>
    <t>MTU</t>
  </si>
  <si>
    <t># Default credentials for all ESXi servers, all installations must have the same user name and password.</t>
  </si>
  <si>
    <t>License Key</t>
  </si>
  <si>
    <t>NTP Servers</t>
  </si>
  <si>
    <t># ******************* E X T E R N A L    I N F R A S T R U C T U R E    C O M P O N E N T S *******************</t>
  </si>
  <si>
    <t>administrator@vsphere.local</t>
  </si>
  <si>
    <t>admin</t>
  </si>
  <si>
    <t>Portgroup Name</t>
  </si>
  <si>
    <t>Default Password</t>
  </si>
  <si>
    <t># *******************  E N D   O F   F I L E  *******************</t>
  </si>
  <si>
    <t>Existing Infrastructure Details</t>
  </si>
  <si>
    <t>NTP Server #1</t>
  </si>
  <si>
    <t>NTP Server #2</t>
  </si>
  <si>
    <t>CIDR Notation</t>
  </si>
  <si>
    <t># Hosts needed for the management cluster, this is where we deploy all the solutions. Up to 8 hosts, 2 is the minimum.</t>
  </si>
  <si>
    <t xml:space="preserve">DNS Server #1 </t>
  </si>
  <si>
    <t>DNS Server #2</t>
  </si>
  <si>
    <t># Folder Names Mgmt Cluster - Automatically formulated in XLS using sso-site-name@value= + static values</t>
  </si>
  <si>
    <t>Date</t>
  </si>
  <si>
    <t># *******************      V C F - E M S  -  M a n a g e m e n t   W o r k l o a d   D o m a i n       *******************</t>
  </si>
  <si>
    <t>SDDC Manager Super User</t>
  </si>
  <si>
    <t>vcf</t>
  </si>
  <si>
    <t>SDDC Manager</t>
  </si>
  <si>
    <t>SDDC Manager Appliance Root Account</t>
  </si>
  <si>
    <t># ******************* S D D C    M A N A G E R  *******************</t>
  </si>
  <si>
    <t>SDDC Manager Hostname</t>
  </si>
  <si>
    <t>SDDC Manager IP Address</t>
  </si>
  <si>
    <t># Network IP Inclusion Ranges</t>
  </si>
  <si>
    <t># DNS Zones</t>
  </si>
  <si>
    <t>172.16.11.0/24</t>
  </si>
  <si>
    <t xml:space="preserve">172.16.11.253 </t>
  </si>
  <si>
    <t>172.16.11.4</t>
  </si>
  <si>
    <t>172.16.11.62</t>
  </si>
  <si>
    <t>172.16.11.101</t>
  </si>
  <si>
    <t>172.16.11.102</t>
  </si>
  <si>
    <t>172.16.11.103</t>
  </si>
  <si>
    <t>172.16.11.104</t>
  </si>
  <si>
    <t>vSphere Resource Pools</t>
  </si>
  <si>
    <t># vSphere Resource Pools</t>
  </si>
  <si>
    <t>172.16.11.253</t>
  </si>
  <si>
    <t>Resource Pool SDDC Edge</t>
  </si>
  <si>
    <t>Resource Pool User Edge</t>
  </si>
  <si>
    <t>Resource Pool User VM</t>
  </si>
  <si>
    <t>ESXi</t>
  </si>
  <si>
    <t>vSAN</t>
  </si>
  <si>
    <t>DNS Zone Name</t>
  </si>
  <si>
    <t>Management Domain ESXi Hosts</t>
  </si>
  <si>
    <t>Management Domain Networks</t>
  </si>
  <si>
    <t>vMotion Start IP</t>
  </si>
  <si>
    <t>vSAN Start IP</t>
  </si>
  <si>
    <t>vMotion End IP</t>
  </si>
  <si>
    <t>vSAN End IP</t>
  </si>
  <si>
    <t>172.16.11.65</t>
  </si>
  <si>
    <t># *******************  R E M O T E    S P E C *******************</t>
  </si>
  <si>
    <t># Join existing Platform Services Controller SSO Domain from Region A</t>
  </si>
  <si>
    <t>VxRail Manager Details</t>
  </si>
  <si>
    <t xml:space="preserve">VxRail Manager Details - Management </t>
  </si>
  <si>
    <t># *******************  V x R A I L    M A N A G E R *******************</t>
  </si>
  <si>
    <t># VxRail Root Account</t>
  </si>
  <si>
    <t># VxRail Service Account</t>
  </si>
  <si>
    <t xml:space="preserve"># VxRail - vCenter Objects for </t>
  </si>
  <si>
    <t>VxRail Manager - Root Account</t>
  </si>
  <si>
    <t>mystic</t>
  </si>
  <si>
    <t>VxRail Manager - Service Account</t>
  </si>
  <si>
    <t>New XLS file to Support VCF on VxRail - Took VCF Folsom release version as the starting point</t>
  </si>
  <si>
    <t>Addressed PR 2265792 - Clean up non-requiremed items in the XLS file</t>
  </si>
  <si>
    <t>172.16.11.200</t>
  </si>
  <si>
    <r>
      <t xml:space="preserve">VxRail Manager
</t>
    </r>
    <r>
      <rPr>
        <b/>
        <i/>
        <sz val="9"/>
        <rFont val="Metropolis"/>
        <family val="3"/>
      </rPr>
      <t>Data from VxRail Configuration</t>
    </r>
  </si>
  <si>
    <t>Removed Remote Site Details for PSC pending Password Rotaton issue resolution
Addressed PR 2279664 - Updated NSX Version from 6.4.3 to 6.4.4
Added input validation for segment IDs, valid input between 5000 and 16777215
Addrssed PR 2262205 - Added CEIP setting
Addressed PR 2091769 - Enable vSwitch value to be configurable</t>
  </si>
  <si>
    <t>Addressed PR 2288425 - Update Pre-Requisite checklist, Set VSAN and Vmotion Ips and gateway non editable and n/a, Removed vcenter size, vss portgroup name and host pool name,  set virtula network field n/a and non editable</t>
  </si>
  <si>
    <t>Addressed PR 2298259, removed Yes/No Toggle for vCenter Server CEIP which does not toggle CEIP but advanced settings</t>
  </si>
  <si>
    <t>Addressed PR 2302896, Added multicast range addresses</t>
  </si>
  <si>
    <t>Addressed PR 2317410 - Added VMware Cloud Foundation version number first worksheet and created new key/value pair
Addressed PR 2318346 - Check MTU input is greater than 1500</t>
  </si>
  <si>
    <t xml:space="preserve">Addressed PR 2343757 - Updated Version number to 3.7.2
Addressed PR 2343803 - Updated vCenter/PSC Versions </t>
  </si>
  <si>
    <t>Addressed PR 2354042 - Updated vCenter/PSC, NSX and vRealize Log Insight versions</t>
  </si>
  <si>
    <t>Enable Customer Experience Improvement Program (“CEIP”)</t>
  </si>
  <si>
    <t>Addeded toggle feature forenabling CEIP across vCenter, VSAN, NSX and vRealize Log Insight</t>
  </si>
  <si>
    <t>Yes</t>
  </si>
  <si>
    <t>Addressed PR 2359629 - Fixed formula error for input validation of root password</t>
  </si>
  <si>
    <t>Addressed PR 2360622 - Unlock Status and Comments columns in Prerequisite Checklist tab
Addressed PR 2360199 - Allow both IP and FQDN as inputs for NTP Servers</t>
  </si>
  <si>
    <t>Updated the VCF Version details to 3.8.0</t>
  </si>
  <si>
    <t>EVC_Settings</t>
  </si>
  <si>
    <t>intel-merom</t>
  </si>
  <si>
    <t>intel-penryn</t>
  </si>
  <si>
    <t>intel-nehalem</t>
  </si>
  <si>
    <t>intel-westmere</t>
  </si>
  <si>
    <t>intel-sandybridge</t>
  </si>
  <si>
    <t>intel-ivybridge</t>
  </si>
  <si>
    <t>intel-haswell</t>
  </si>
  <si>
    <t>intel-broadwell</t>
  </si>
  <si>
    <t>intel-skylake</t>
  </si>
  <si>
    <t>amd-rev-e</t>
  </si>
  <si>
    <t>amd-rev-f</t>
  </si>
  <si>
    <t>amd-greyhound-no3dnow</t>
  </si>
  <si>
    <t>amd-greyhound</t>
  </si>
  <si>
    <t>amd-bulldozer</t>
  </si>
  <si>
    <t>amd-piledriver</t>
  </si>
  <si>
    <t>amd-steamroller</t>
  </si>
  <si>
    <t>amd-zen</t>
  </si>
  <si>
    <t>Added Advanced NSX Networking Settings to support Application Virtual Networks
Added NSX Advanced versus Enterprise Deployment Toggle</t>
  </si>
  <si>
    <t>Updated the VCF Version details to 3.9.0</t>
  </si>
  <si>
    <t>Addressed PR 2399375 - Updated the input message for NSX Password Policies</t>
  </si>
  <si>
    <t>VxRail-Datacenter</t>
  </si>
  <si>
    <t>Datacenter Name (VxRail Default)</t>
  </si>
  <si>
    <t>Cluster Name (VxRail Default)</t>
  </si>
  <si>
    <t>vCenter Server Network-*</t>
  </si>
  <si>
    <t>vSphere vMotion-*</t>
  </si>
  <si>
    <t>Virtual SAN-</t>
  </si>
  <si>
    <t>Addressed PR 2378593 - Renamed Datacenter, Cluster and vDS Portgroups to match VxRail Defaults. Removed the Virtual Networking section from Deploy Parameters</t>
  </si>
  <si>
    <t>Updated for Iowa1 Release</t>
  </si>
  <si>
    <t>Addressed PR 2416544 - Adding missing MTU for Uplinks</t>
  </si>
  <si>
    <t>Addressed PR 2193648 - Updated 'vRealize Log Insight Node Load Balancer' to 'vRealize Log Insight Load Balancer'</t>
  </si>
  <si>
    <t>Added toggle feature for Embedded PSC</t>
  </si>
  <si>
    <t>Created Jefferson1 Release</t>
  </si>
  <si>
    <t>Added feature toggle for Embedded PSC</t>
  </si>
  <si>
    <t>Updated default values for vRealize Log Insight IP Addresses so they are on the correct Application Virtual Network</t>
  </si>
  <si>
    <t>Updated default values for Resource Pools</t>
  </si>
  <si>
    <t>Updated Cluster Name</t>
  </si>
  <si>
    <t>VxRail-Virtual-SAN-Cluster</t>
  </si>
  <si>
    <t>Added Application Virtual Network ESG VMs to Management Workloads</t>
  </si>
  <si>
    <t>Updated the VCF Version details to 4.0.0
    - Remove Platform Services Controller Hostname and IPs from Deployment Parameters Tab
    - Adjusted the layout to close up the gaps
    - Move the Single-Sign On input into vSphere Infrastructure Section
    - Unlocked Portgroup Name Cells so they can be customized</t>
  </si>
  <si>
    <t>vSAN Datastore Name</t>
  </si>
  <si>
    <t>vCenter Server Hostname and IP Address</t>
  </si>
  <si>
    <t>DNS Zone</t>
  </si>
  <si>
    <t>Updated for the following changes:
    - Management Workloads Tab:
        - Removed vRealize Log Insight
        - Set VSAN Defaults to All-Flash and adjusted the layout a little
    - Users and Groups
        - Removed vRealize Log Insight accounts
        - Updated layout to remove hidden not required cells
    - Deploy Parameters Tab
        - Removed vRealize Log Insight Inputs
        - Removed Subnet Mask input from SDDC Manager (auto generated based on Management VLAN CIDR)
        - Relocated vSphere Datastore inputs under vSphere Infrastructure Section
        - Moved CEIP inputs</t>
  </si>
  <si>
    <t>NSX-T Virtual Appliance Node #1</t>
  </si>
  <si>
    <t>NSX-T Virtual Appliance Node #2</t>
  </si>
  <si>
    <t>NSX-T Virtual Appliance Node #3</t>
  </si>
  <si>
    <t>audit</t>
  </si>
  <si>
    <t>DNS Server and DNS Zone Defined</t>
  </si>
  <si>
    <t>VxRail Manager - Hostname and Static IP Defined</t>
  </si>
  <si>
    <t>vCenter Server - Hostname and Static IP Defined</t>
  </si>
  <si>
    <t>vCenter Datacenter and Cluster Defined</t>
  </si>
  <si>
    <t>vCenter Datacenter and Cluster</t>
  </si>
  <si>
    <t>vSphere Resource Pools Defined</t>
  </si>
  <si>
    <t>Virtual Networking Defined</t>
  </si>
  <si>
    <t>vSphere Datastores Defined</t>
  </si>
  <si>
    <t># *******************  N S X - T   *******************</t>
  </si>
  <si>
    <t># NSX-T License Key</t>
  </si>
  <si>
    <t>"nsxtSpec" &gt; "nsxtLicense"</t>
  </si>
  <si>
    <t>"nsxtSpec" &gt; "nsxtManagerSize"</t>
  </si>
  <si>
    <t># NSX-T Credentials</t>
  </si>
  <si>
    <t>"nsxtSpec" &gt; "rootNsxtManagerPassword"</t>
  </si>
  <si>
    <t>"nsxtSpec" &gt; "nsxtAdminPassword"</t>
  </si>
  <si>
    <t>"nsxtSpec" &gt; "nsxtAuditPassword"</t>
  </si>
  <si>
    <t>nsxt-enable-rootLogin=true</t>
  </si>
  <si>
    <t>"nsxtSpec" &gt; "rootLoginEnabledForNsxtManager"</t>
  </si>
  <si>
    <t>nsxt-enable-ssh=true</t>
  </si>
  <si>
    <t>"nsxtSpec" &gt; "sshEnabledForNsxtManager"</t>
  </si>
  <si>
    <t># NSX-T Hostnames and IP Addresses</t>
  </si>
  <si>
    <t>"nsxtSpec" &gt; "vipFqdn"</t>
  </si>
  <si>
    <t>"nsxtSpec" &gt; "vip"</t>
  </si>
  <si>
    <t>"nsxtSpec" &gt; "nsxtManagers"</t>
  </si>
  <si>
    <t># NSX-T Transport Zone</t>
  </si>
  <si>
    <t>"nsxtSpec" &gt; "transportVlanId"</t>
  </si>
  <si>
    <t>"nsxtSpec" &gt; "vlanTransportZones" &gt; "zoneName"</t>
  </si>
  <si>
    <t>"nsxtSpec" &gt; "vlanTransportZones" &gt; "networkName"</t>
  </si>
  <si>
    <t>"nsxtSpec" &gt; "overLayTransportZones" &gt; "zoneName"</t>
  </si>
  <si>
    <t>"nsxtSpec" &gt; "overLayTransportZones" &gt; "networkName"</t>
  </si>
  <si>
    <t>NSX-T Management Cluster</t>
  </si>
  <si>
    <t>NSX-T Management Cluster VIP</t>
  </si>
  <si>
    <t>medium</t>
  </si>
  <si>
    <t>NSX-T Virtual Appliance Size (Default Medium)</t>
  </si>
  <si>
    <t>vSphere Datastore</t>
  </si>
  <si>
    <t>172.16.11.66</t>
  </si>
  <si>
    <t>172.16.11.67</t>
  </si>
  <si>
    <t>172.16.11.68</t>
  </si>
  <si>
    <t>"remoteSiteSpec" &gt; "pscAddress"</t>
  </si>
  <si>
    <t>"remoteSiteSpec" &gt; "vcCredentials" &gt; "userName"</t>
  </si>
  <si>
    <t>"remoteSiteSpec" &gt; "vcCredentials" &gt; "password"</t>
  </si>
  <si>
    <t>"ntpSpec" &gt; "ntpServers"</t>
  </si>
  <si>
    <t># NTP Servers (IP or FQDN supported)</t>
  </si>
  <si>
    <t>"dnsSpec" &gt; "domain"</t>
  </si>
  <si>
    <t>"dnsSpec" &gt; "nameserver"</t>
  </si>
  <si>
    <t>"dnsSpec" &gt; "subdomain"</t>
  </si>
  <si>
    <t>"dnsSpec" &gt; "secondaryNameserver"</t>
  </si>
  <si>
    <t>"sddcManagerSpec" &gt; "rootUserCredentials" &gt; "password"</t>
  </si>
  <si>
    <t>"sddcManagerSpec" &gt; "secondUserCredentials" &gt; "password"</t>
  </si>
  <si>
    <t>"sddcManagerSpec" &gt; "ipAddress"</t>
  </si>
  <si>
    <t>"sddcManagerSpec" &gt; "hostname"</t>
  </si>
  <si>
    <t># ******************* V C E N T E R  S E R V E R  *******************</t>
  </si>
  <si>
    <t>"vCenterSpecs" &gt; "licenseFile"</t>
  </si>
  <si>
    <t>"vCenterSpecs" &gt; "rootVcenterPassword"</t>
  </si>
  <si>
    <t>"vCenterSpecs" &gt; "vcenterIP"</t>
  </si>
  <si>
    <t>"vCenterSpecs" &gt; "vcenterHostname"</t>
  </si>
  <si>
    <t xml:space="preserve"># vSphere Single Sign-On </t>
  </si>
  <si>
    <t>"pscSpecs" &gt; "adminUserSsoPassword"</t>
  </si>
  <si>
    <t>"pscSpecs" &gt; "pscSsoSpec" &gt; "ssoSiteName"</t>
  </si>
  <si>
    <t># ******************* V S A N *******************</t>
  </si>
  <si>
    <t>"vsanSpecs" &gt; "licenseFile"</t>
  </si>
  <si>
    <t>"vsanSpecs" &gt; "datastoreName"</t>
  </si>
  <si>
    <t># ******************* E S X I  H O S T S *******************</t>
  </si>
  <si>
    <t>"workflowName"</t>
  </si>
  <si>
    <t>"ceipEnabled"</t>
  </si>
  <si>
    <t>"workflowVersion"</t>
  </si>
  <si>
    <t># ESXi Host License Key</t>
  </si>
  <si>
    <t>"esxLicense"</t>
  </si>
  <si>
    <t>"esxiHostSpecs" &gt; "esxiCredentials" &gt; "userName"</t>
  </si>
  <si>
    <t>"esxiHostSpecs" &gt; "esxiCredentials" &gt; "password"</t>
  </si>
  <si>
    <t>"esxiHostSpecs" &gt; "ipAddressPrivate" &gt; "ipAddress"</t>
  </si>
  <si>
    <t>"esxiHostSpecs" &gt; "esxiHostname"</t>
  </si>
  <si>
    <t># ******************* D A T A C E N T E R   /   C L U S T E R  *******************</t>
  </si>
  <si>
    <t xml:space="preserve">"esxiHostSpecs" &gt; "association"  |  "networkSpecs" &gt; "association" </t>
  </si>
  <si>
    <t>"clusterSpecs" &gt; "clusterId</t>
  </si>
  <si>
    <t>"clusterSpecs" &gt; "resourcePoolSpecs" &gt; "name"</t>
  </si>
  <si>
    <t># Management Network - Management Domain - "networkType": "MANAGEMENT"</t>
  </si>
  <si>
    <t>"networkSpecs" &gt; "subnet" | "esxiHostSpecs" &gt; "ipAddressPrivate" &gt; "cidr"</t>
  </si>
  <si>
    <t>"networkSpecs" &gt; "gateway" | "esxiHostSpecs" &gt; "ipAddressPrivate" &gt; "gateway"</t>
  </si>
  <si>
    <t>"networkSpecs" &gt; "VLANId"</t>
  </si>
  <si>
    <t>"networkSpecs" &gt; "mtu"</t>
  </si>
  <si>
    <t>"networkSpecs" &gt; "portGroupKey"</t>
  </si>
  <si>
    <t># Management Network - Management Domain - "networkType": "VSAN"</t>
  </si>
  <si>
    <t># Management Network - Management Domain - "networkType": "VMOTION"</t>
  </si>
  <si>
    <t>"dvsSpecs" &gt; "mtu"</t>
  </si>
  <si>
    <t>"networkSpecs" &gt; "includeIpAddressRanges"</t>
  </si>
  <si>
    <t>ESXi Host Root Account (Same for all ESXi hosts)</t>
  </si>
  <si>
    <t>Default Single-Sign On Domain Administrator User</t>
  </si>
  <si>
    <t>vCenter Server Virtual Appliances Root Account</t>
  </si>
  <si>
    <t xml:space="preserve">    - Replace NSX-V inputs with NSX-T inputs
    - Add vSphere Lifecycle Manager Toggle and Image input
    - Config_File_Build Tab
        - Cleaned up not required inputs</t>
  </si>
  <si>
    <t>Resource Pool SDDC Management</t>
  </si>
  <si>
    <t>NSX-T Nodes - Hostnames and Static IPs Defined</t>
  </si>
  <si>
    <t>SDDC Manager - Hostnames and Static IP Defined</t>
  </si>
  <si>
    <t xml:space="preserve">Updated wording of instructions to remove Grey Cell comment in Deploy Parameters </t>
  </si>
  <si>
    <t>Updated Input Error for NSX-T Passwords</t>
  </si>
  <si>
    <t>Added Conditional Formatting to Check Character Limit for ESXi and vCenter Server Hostnames</t>
  </si>
  <si>
    <t>Added Application Virtual Network Configuration for NSX-T</t>
  </si>
  <si>
    <t>NSX-T Virtual Appliance Root Account - NSX-T Manager and Edge Nodes</t>
  </si>
  <si>
    <t>NSX-T User Interface and Default CLI Admin Account - NSX-T Manager and Edge Nodes</t>
  </si>
  <si>
    <t>NSX-T Audit CLI Account - NSX-T Manager and Edge Nodes</t>
  </si>
  <si>
    <t>Network Type</t>
  </si>
  <si>
    <t>Management Network</t>
  </si>
  <si>
    <t>vMotion Network</t>
  </si>
  <si>
    <t>vSAN Network</t>
  </si>
  <si>
    <t>Added Application Virtual Network Toggle
Added Key/Value pair for Folder of Edge Devices
Renamed SSO Site Name to Cloud Foundation Management Domain Name to drive custom domain name (SSO Site Name depreicated in vSphere 7)</t>
  </si>
  <si>
    <t>Cloud Foundation Management Domain Name</t>
  </si>
  <si>
    <t>"clusterSpecs" &gt; "vmFolders" &gt; "MANAGEMENT"</t>
  </si>
  <si>
    <t>"clusterSpecs" &gt; "vmFolders" &gt; "NETWORKING"</t>
  </si>
  <si>
    <t>"clusterSpecs" &gt; "vmFolders" &gt; "EDGENODES"</t>
  </si>
  <si>
    <t>Fixed Issue with Auto Calculated Name of tier Gateway Names which key off of Doman Name
Added Key/Value Pairs for NXS-T Host Overlay CIDR and Gateway</t>
  </si>
  <si>
    <t>Udated default size of NSX-T Edge Cluster to Medium</t>
  </si>
  <si>
    <t>sfo-m01</t>
  </si>
  <si>
    <t>Updated Resource Numbers in Management Workloads</t>
  </si>
  <si>
    <t>Added Missing key/pairs for Application Virtual Networks to populate networkSpecs</t>
  </si>
  <si>
    <t>sfo-vcf01</t>
  </si>
  <si>
    <t>sfo-m01-cl01-rp-sddc-mgmt</t>
  </si>
  <si>
    <t>sfo-m01-cl01-rp-sddc-edge</t>
  </si>
  <si>
    <t>sfo-m01-cl01-rp-user-edge</t>
  </si>
  <si>
    <t>sfo-m01-cl01-rp-user-vm</t>
  </si>
  <si>
    <t>172.16.11.59</t>
  </si>
  <si>
    <t>Updated calculated names for transport zones under NSX-T</t>
  </si>
  <si>
    <t>nsxt-transport-vlan-networkName=netName-vlan</t>
  </si>
  <si>
    <t xml:space="preserve">Addressed PR 2525105 - Added missing key/value pair for VCF Domain Name which is used to generate the sddcId in the JSON
Addressed PR 2525207 - Unlock Datacenter and Cluster Name Cells so they can be modified </t>
  </si>
  <si>
    <t>sfo-m01-cl01-vds01</t>
  </si>
  <si>
    <t>intel-cascadelake</t>
  </si>
  <si>
    <t>Added support for intel-cascadelake in the lookup list
Updated hostnames to match VVD Naming Standards by default</t>
  </si>
  <si>
    <t>sfo-m01-vxm01</t>
  </si>
  <si>
    <t>sfo-m01-vc01</t>
  </si>
  <si>
    <t>sfo-m01-nsx01</t>
  </si>
  <si>
    <t>sfo-m01-nsx01a</t>
  </si>
  <si>
    <t>sfo-m01-nsx01b</t>
  </si>
  <si>
    <t>sfo-m01-nsx01c</t>
  </si>
  <si>
    <t>sfo01-m01-esx01</t>
  </si>
  <si>
    <t>sfo01-m01-esx02</t>
  </si>
  <si>
    <t>sfo01-m01-esx04</t>
  </si>
  <si>
    <t>VxRail-Virtual-SAN-Datastore</t>
  </si>
  <si>
    <t>Updated Heading of Logical Switch to Logical Segment for Application Virtual Networks
Fixed an issue with input for ACTIVE/ACTIVE config for NSX-T should be ACTIVE_ACTIVE</t>
  </si>
  <si>
    <t>Remove Extra Small as a Deployment option for NSX-T Data Center Managers</t>
  </si>
  <si>
    <t># NSX-T Manager Virtual Appliance Size - Valid values are "small", "medium", "large"</t>
  </si>
  <si>
    <t>Fixed spelling mistakes
Updated Version for Jefferson2</t>
  </si>
  <si>
    <t>Added conditional Format to black out portgroups not required when AVNs are skipped
Updated versions based on i1u1 Bill of Materials
Updated the instructions for each tab to be more explicit around grey, red and yellow cells</t>
  </si>
  <si>
    <r>
      <t xml:space="preserve">Instructions: </t>
    </r>
    <r>
      <rPr>
        <sz val="10.5"/>
        <rFont val="Metropolis"/>
      </rPr>
      <t xml:space="preserve">Use the </t>
    </r>
    <r>
      <rPr>
        <i/>
        <sz val="10.5"/>
        <rFont val="Metropolis"/>
      </rPr>
      <t>Hosts and Networks</t>
    </r>
    <r>
      <rPr>
        <sz val="10.5"/>
        <rFont val="Metropolis"/>
      </rPr>
      <t xml:space="preserve"> tab to input network details, hostname and IPs for the ESXi hosts to be used to implement the Management Domain.
- Grey cells are for information purposes and cannot be modified.
- </t>
    </r>
    <r>
      <rPr>
        <b/>
        <sz val="10.5"/>
        <color rgb="FFFF0000"/>
        <rFont val="Metropolis"/>
      </rPr>
      <t>Red cells mean the input data is either missing and mandatory or some type of validation of the input data has failed.</t>
    </r>
    <r>
      <rPr>
        <sz val="10.5"/>
        <rFont val="Metropolis"/>
      </rPr>
      <t xml:space="preserve">
- </t>
    </r>
    <r>
      <rPr>
        <b/>
        <sz val="10.5"/>
        <rFont val="Metropolis"/>
      </rPr>
      <t>Yellow cells indicate input data, default values are included to help illustrate the formatting to be used and align to the VMware documentation.</t>
    </r>
    <r>
      <rPr>
        <sz val="10.5"/>
        <rFont val="Metropolis"/>
      </rPr>
      <t xml:space="preserve"> </t>
    </r>
    <r>
      <rPr>
        <sz val="10.5"/>
        <color rgb="FFFF0000"/>
        <rFont val="Metropolis"/>
      </rPr>
      <t>If a value is not required enter 'n/a', if it turns red then its mandatory.</t>
    </r>
  </si>
  <si>
    <r>
      <t xml:space="preserve">Instructions: </t>
    </r>
    <r>
      <rPr>
        <sz val="10"/>
        <rFont val="Metropolis"/>
      </rPr>
      <t xml:space="preserve">Use the </t>
    </r>
    <r>
      <rPr>
        <i/>
        <sz val="10"/>
        <rFont val="Metropolis"/>
      </rPr>
      <t xml:space="preserve">Users and Groups </t>
    </r>
    <r>
      <rPr>
        <sz val="10"/>
        <rFont val="Metropolis"/>
      </rPr>
      <t xml:space="preserve">tab to input the default passwords used for built-in accounts for each component, these will be used to implement the Management Domain.
- Grey cells are for information purposes and cannot be modified.
- </t>
    </r>
    <r>
      <rPr>
        <sz val="10"/>
        <color rgb="FFFF0000"/>
        <rFont val="Metropolis"/>
      </rPr>
      <t>Red cells mean the input data is either missing and required or some type of validation of the input data has failed.</t>
    </r>
    <r>
      <rPr>
        <sz val="10"/>
        <rFont val="Metropolis"/>
      </rPr>
      <t xml:space="preserve">
</t>
    </r>
    <r>
      <rPr>
        <b/>
        <sz val="10"/>
        <rFont val="Metropolis"/>
      </rPr>
      <t>Password Policy</t>
    </r>
    <r>
      <rPr>
        <sz val="10"/>
        <rFont val="Metropolis"/>
      </rPr>
      <t>: Each password has its own password policy typically a minimum number of characters in length and atleast one uppercase, lowercase, number and special character (e.g: @!#$%?^). Unsupported: Ambiguous Characters (e.g: { } [ ] ( ) / \' " ` *~ , ; : .&lt; &gt;)</t>
    </r>
  </si>
  <si>
    <r>
      <t xml:space="preserve">Instructions: </t>
    </r>
    <r>
      <rPr>
        <sz val="10"/>
        <rFont val="Metropolis"/>
      </rPr>
      <t xml:space="preserve">Use the </t>
    </r>
    <r>
      <rPr>
        <i/>
        <sz val="10"/>
        <rFont val="Metropolis"/>
      </rPr>
      <t>Deployment Parameters</t>
    </r>
    <r>
      <rPr>
        <sz val="10"/>
        <rFont val="Metropolis"/>
      </rPr>
      <t xml:space="preserve"> tab to input configuration details for physical infrastructure and the components used to implement the Management Domain.
- Grey cells are for information purposes and cannot be modified.
- </t>
    </r>
    <r>
      <rPr>
        <sz val="10"/>
        <color rgb="FFFF0000"/>
        <rFont val="Metropolis"/>
      </rPr>
      <t>Red cells mean the input data is either missing and mandatory or some type of validation of the input data has failed.</t>
    </r>
    <r>
      <rPr>
        <sz val="10"/>
        <rFont val="Metropolis"/>
      </rPr>
      <t xml:space="preserve">
- </t>
    </r>
    <r>
      <rPr>
        <b/>
        <sz val="10"/>
        <rFont val="Metropolis"/>
      </rPr>
      <t>Yellow cells indicate input data, default values are included to help illustrate the formatting to be used and align to the VMware documentation.</t>
    </r>
    <r>
      <rPr>
        <sz val="10"/>
        <rFont val="Metropolis"/>
      </rPr>
      <t xml:space="preserve"> </t>
    </r>
    <r>
      <rPr>
        <sz val="10"/>
        <color rgb="FFFF0000"/>
        <rFont val="Metropolis"/>
      </rPr>
      <t>If a value is not required enter 'n/a', if it turns red then its mandatory.</t>
    </r>
  </si>
  <si>
    <t>Removed validation for 15 char limit of ESXi Hosts and vCenter Server</t>
  </si>
  <si>
    <t>Secondary vSphere Distributed Switch - Name</t>
  </si>
  <si>
    <t>Secondary vSphere Distributed Switch - vmnics</t>
  </si>
  <si>
    <t>Secondary vSphere Distributed Switch - MTU Size</t>
  </si>
  <si>
    <t>vds_Profiles</t>
  </si>
  <si>
    <t>vmnic4,vmnic5</t>
  </si>
  <si>
    <t>Added multi-pNIC and multi-vds support
Set Host Overlay portgroup to n/a
Set Edge Overlay portgroup to n/a
Added vSphere Distributed Switch Profiles and moved from Deploy Paramters to Hosts and Networks Tab</t>
  </si>
  <si>
    <t># ******************* D I S T R I B U T E D  S W I T C H E S  *******************</t>
  </si>
  <si>
    <t>Updated Edge/Host Overlay and Uplinks to Check for Unique VLAN IDs, if duplicate they turn red</t>
  </si>
  <si>
    <t>Updated selection for choosing architecture to skip resource pools</t>
  </si>
  <si>
    <t>Updated the NSX-T Edge Node sizes to small, medium, large and xlarge</t>
  </si>
  <si>
    <t>Added tooltips (In order to re-use Edge Cluster for WCP, provide Edge Size as LARGE) for Edge Node Appliance Size</t>
  </si>
  <si>
    <t>nsxt-transport-overlay-networkName=netName-overlay</t>
  </si>
  <si>
    <t>Updated nsxt-transport-overlay-networkName= which was blank due to Edge Overlay portgroup being set to n/a</t>
  </si>
  <si>
    <t>Revert  selection for choosing architecture to skip resource pools</t>
  </si>
  <si>
    <t>admin@local</t>
  </si>
  <si>
    <t xml:space="preserve">"sddcManagerSpec" &gt; "localUserPassword </t>
  </si>
  <si>
    <t>Addressed 2610748 - Added back ability to skip creation of resource pools</t>
  </si>
  <si>
    <t>Select the VCF Architecture to be deployed:</t>
  </si>
  <si>
    <t>Standard</t>
  </si>
  <si>
    <t>Addressed PR 2618290 Adjust minimum password length for admin@local
Addressed PR 2620854 Fixed input message refering to NSX-V and not NSX-T</t>
  </si>
  <si>
    <t>Addressed PR 2621665 Updated description of SDDC Manager Local Account and set max char to 127</t>
  </si>
  <si>
    <t>SDDC Manager Local Account</t>
  </si>
  <si>
    <t>Addressed PR 2625415 Added conditional format to handle Excel not honouring input validation when copy/paste is used</t>
  </si>
  <si>
    <t>VLAN ID</t>
  </si>
  <si>
    <t>Configure NSX-T Host Overlay Using a Static IP Pool</t>
  </si>
  <si>
    <t>No</t>
  </si>
  <si>
    <t>"fipsEnabled"</t>
  </si>
  <si>
    <t>Pool Description</t>
  </si>
  <si>
    <t>ESXi Host Overlay TEP IP Pool</t>
  </si>
  <si>
    <t>Pool Name</t>
  </si>
  <si>
    <t>sfo01-m01-cl01-tep01</t>
  </si>
  <si>
    <t>172.16.14.0/24</t>
  </si>
  <si>
    <t>172.16.14.1</t>
  </si>
  <si>
    <t>NSX-T Host Overlay Start IP</t>
  </si>
  <si>
    <t>172.16.14.101</t>
  </si>
  <si>
    <t>NSX-T Host Overlay End IP</t>
  </si>
  <si>
    <t>172.16.14.108</t>
  </si>
  <si>
    <t># NSX-T ESXi Host TEP Static IP Pool</t>
  </si>
  <si>
    <t>"nsxtSpec" &gt; "ipAddressPoolSpec" &gt; "name"</t>
  </si>
  <si>
    <t>"nsxtSpec" &gt; "ipAddressPoolSpec" &gt; "description"</t>
  </si>
  <si>
    <t>"nsxtSpec" &gt; "ipAddressPoolSpec" &gt; "subnets" &gt; "ipAddressPoolRanges" &gt; "start"</t>
  </si>
  <si>
    <t>"nsxtSpec" &gt; "ipAddressPoolSpec" &gt; "subnets" &gt; "ipAddressPoolRanges" &gt; "end"</t>
  </si>
  <si>
    <t>"nsxtSpec" &gt; "ipAddressPoolSpec" &gt; "subnets" &gt; "cidr"</t>
  </si>
  <si>
    <t>"nsxtSpec" &gt; "ipAddressPoolSpec" &gt; "subnets" &gt; "gateway"</t>
  </si>
  <si>
    <t>SSH RSA Key Fingerprints (SHA256)</t>
  </si>
  <si>
    <t>Example Input</t>
  </si>
  <si>
    <t>SHA256:RBA2O5XImupEfJSaoBcYYzc0aR9gWjlkY8VqptIub9w</t>
  </si>
  <si>
    <t>27:09:80:C3:59:00:73:F0:80:93:15:36:7E:5D:C9:72:69:32:EF:99</t>
  </si>
  <si>
    <t>Security Thumbprints</t>
  </si>
  <si>
    <t xml:space="preserve"> Validate Thumbprints</t>
  </si>
  <si>
    <t>"skipEsxThumbprintValidation"</t>
  </si>
  <si>
    <t># SSH Thumbprints</t>
  </si>
  <si>
    <t># SSL Thumbprints</t>
  </si>
  <si>
    <t># Security Thumbprints</t>
  </si>
  <si>
    <t>Added back the admin user (Rest API User) Due to a Change by Release Team</t>
  </si>
  <si>
    <t>SSL Thumbprints (SHA256)</t>
  </si>
  <si>
    <t>Updated the VCF Version details to 4.0.1
Added new Local User Password for Emergency Service Account</t>
  </si>
  <si>
    <t>Updated the VCF Version details to 4.1.0
Added Support for Static IP Pool for NSX-T Data Center Host TEPs
Added ESXi Host SSH Thumbprint and Set Default to Yes
Added VxRail Manager and vCenter SSL/SSH Thumbprints and Set Default to Yes
Removed the admin user (Rest API User)</t>
  </si>
  <si>
    <t>Updated NSX-T Version in Management Workloads Worksheet to 3.1
Removed Old Key/Value Pairs for NSX-V Portgroup</t>
  </si>
  <si>
    <t>Added FIPS Compliance Option for SDDC Manager</t>
  </si>
  <si>
    <t>Updated Password Policy Rule for Local Admin Account of VCF with 'A character cannot be repeated more than 3 times consecutively'
Updated Password Policy Rule for NSX-T Manager with 'NO three same consecutive chars', 'NOT a dictionary word' and 'NOT more than four monotonic char sequence'</t>
  </si>
  <si>
    <t>Updated Version to 4.2.0
Removed no longer needed key/value pairs:
     - host-overlay-network.vlanId
     - host-overlay-network.mtu</t>
  </si>
  <si>
    <t>Fixed an issue with the 2nd NTP and DNS Server input cells being locked</t>
  </si>
  <si>
    <t>Removed Enable FIPS Toggle</t>
  </si>
  <si>
    <t>Updated vCenter Root Account Password Requirements</t>
  </si>
  <si>
    <t>NSX-T Data Center</t>
  </si>
  <si>
    <t>Updated Version to 4.3.0
Remove the REST API User for VMware Cloud Foundation
Renamed User and Groups Worksheet to Credentials</t>
  </si>
  <si>
    <t xml:space="preserve">Copyright © 2021 VMware, Inc. All rights reserved. This product is protected by copyright and intellectual property laws in the United States and other countries as well as by international treaties. VMware products are covered by one or more patents listed at http://www.vmware.com/go/patents. VMware is a registered trademark or trademark of VMware, Inc. in the United States and other jurisdictions. All other marks and names mentioned herein may be trademarks of their respective companies. </t>
  </si>
  <si>
    <t>v4.3.0</t>
  </si>
  <si>
    <t>amd-zen2</t>
  </si>
  <si>
    <t>intel-icelake</t>
  </si>
  <si>
    <t>Added Enable FIPS Toggle Back
Added 'intel-icelake' and 'amd_zen2' to EVC CPU Look Up List</t>
  </si>
  <si>
    <t>Removed Profiles for vSphere Distributed Switches and Introduced a  More Simple Method</t>
  </si>
  <si>
    <t>Create Separate vSphere Distributed Switch for NSX-T Overlay Traffic?</t>
  </si>
  <si>
    <t>System vSphere Distributed Switch Used for NSX-T Overlay Traffic</t>
  </si>
  <si>
    <t>System vSphere Distributed Switch (VxRail Manager Created)</t>
  </si>
  <si>
    <t>System vSphere Distributed Switch - Name</t>
  </si>
  <si>
    <t>"dvsSpecs" &gt; "dvsName"</t>
  </si>
  <si>
    <t>"dvsSpecs" &gt; "vmnics"</t>
  </si>
  <si>
    <t>Secondary vSphere Distributed Switch</t>
  </si>
  <si>
    <t>sfo-m01-cl01-vds02</t>
  </si>
  <si>
    <t>sfo01-m01-esx03</t>
  </si>
  <si>
    <t>sfo.rainpole.io</t>
  </si>
  <si>
    <t>Addressed PR 2718641 - Fixed default input value typos</t>
  </si>
  <si>
    <t>About</t>
  </si>
  <si>
    <t>Worksheet Descriptions</t>
  </si>
  <si>
    <r>
      <rPr>
        <b/>
        <sz val="11"/>
        <color theme="1"/>
        <rFont val="Metropolis Regular"/>
      </rPr>
      <t>Credentials</t>
    </r>
    <r>
      <rPr>
        <sz val="11"/>
        <color theme="1"/>
        <rFont val="Metropolis Regular"/>
      </rPr>
      <t xml:space="preserve"> - Used to input default passwords that will be used for built-in accounts for each component.
</t>
    </r>
    <r>
      <rPr>
        <b/>
        <sz val="11"/>
        <color theme="1"/>
        <rFont val="Metropolis Regular"/>
      </rPr>
      <t>Hosts and Networks</t>
    </r>
    <r>
      <rPr>
        <sz val="11"/>
        <color theme="1"/>
        <rFont val="Metropolis Regular"/>
      </rPr>
      <t xml:space="preserve"> - Used to input network details such as VLAN IDs, CIDR, Gateway, Portgroup Names and MTU, ESXi hostnames, IP Addresses, vMotion and vSAN IP Pool details.
</t>
    </r>
    <r>
      <rPr>
        <b/>
        <sz val="11"/>
        <color theme="1"/>
        <rFont val="Metropolis Regular"/>
      </rPr>
      <t>Deploy Parameters</t>
    </r>
    <r>
      <rPr>
        <sz val="11"/>
        <color theme="1"/>
        <rFont val="Metropolis Regular"/>
      </rPr>
      <t xml:space="preserve"> - Used to input configuration details for infrastructure components and vCenter Server, vSAN, NSX-T Data Center and SDDC Manager.</t>
    </r>
  </si>
  <si>
    <r>
      <t xml:space="preserve">This </t>
    </r>
    <r>
      <rPr>
        <b/>
        <sz val="11"/>
        <color theme="1"/>
        <rFont val="Metropolis Regular"/>
      </rPr>
      <t>Deployment Parameter Workbook</t>
    </r>
    <r>
      <rPr>
        <sz val="11"/>
        <color theme="1"/>
        <rFont val="Metropolis Regular"/>
      </rPr>
      <t xml:space="preserve"> contains worksheets categorizing the information required for deploying </t>
    </r>
    <r>
      <rPr>
        <b/>
        <sz val="11"/>
        <color theme="1"/>
        <rFont val="Metropolis Regular"/>
      </rPr>
      <t>VMware Cloud Foundation</t>
    </r>
    <r>
      <rPr>
        <sz val="11"/>
        <color theme="1"/>
        <rFont val="Metropolis Regular"/>
      </rPr>
      <t xml:space="preserve">. The information provided is used to create the management domain using the </t>
    </r>
    <r>
      <rPr>
        <b/>
        <sz val="11"/>
        <color theme="1"/>
        <rFont val="Metropolis Regular"/>
      </rPr>
      <t xml:space="preserve">VMware Cloud Builder </t>
    </r>
    <r>
      <rPr>
        <sz val="11"/>
        <color theme="1"/>
        <rFont val="Metropolis Regular"/>
      </rPr>
      <t xml:space="preserve">appliance.
The fields in </t>
    </r>
    <r>
      <rPr>
        <b/>
        <sz val="11"/>
        <color theme="1"/>
        <rFont val="Metropolis Regular"/>
      </rPr>
      <t>YELLOW</t>
    </r>
    <r>
      <rPr>
        <sz val="11"/>
        <color theme="1"/>
        <rFont val="Metropolis Regular"/>
      </rPr>
      <t xml:space="preserve"> contain sample values that you should replace with the information as it relates to your environment. If a cell turns </t>
    </r>
    <r>
      <rPr>
        <b/>
        <sz val="11"/>
        <color theme="1"/>
        <rFont val="Metropolis Regular"/>
      </rPr>
      <t>RED</t>
    </r>
    <r>
      <rPr>
        <sz val="11"/>
        <color theme="1"/>
        <rFont val="Metropolis Regular"/>
      </rPr>
      <t xml:space="preserve">, the required information is either missing where its required, or some kind of validation input has failed.
The </t>
    </r>
    <r>
      <rPr>
        <b/>
        <sz val="11"/>
        <color theme="1"/>
        <rFont val="Metropolis Regular"/>
      </rPr>
      <t>Deployment Parameters Workbook</t>
    </r>
    <r>
      <rPr>
        <sz val="11"/>
        <color theme="1"/>
        <rFont val="Metropolis Regular"/>
      </rPr>
      <t xml:space="preserve"> is not able to fully validate all inputs due to formula limitations of Excel and so some validation issues may only be picked up once you upload the workbook to the </t>
    </r>
    <r>
      <rPr>
        <b/>
        <sz val="11"/>
        <color theme="1"/>
        <rFont val="Metropolis Regular"/>
      </rPr>
      <t>VMware Cloud Builder</t>
    </r>
    <r>
      <rPr>
        <sz val="11"/>
        <color theme="1"/>
        <rFont val="Metropolis Regular"/>
      </rPr>
      <t xml:space="preserve"> appliance.
</t>
    </r>
    <r>
      <rPr>
        <b/>
        <sz val="11"/>
        <color theme="1"/>
        <rFont val="Metropolis Regular"/>
      </rPr>
      <t>NOTE</t>
    </r>
    <r>
      <rPr>
        <sz val="11"/>
        <color theme="1"/>
        <rFont val="Metropolis Regular"/>
      </rPr>
      <t xml:space="preserve">: Using copy and paste between cells can also create problems so try to avoid, if you do use this capability ensure you select Paste Special &gt; Values only
For further information see the following </t>
    </r>
    <r>
      <rPr>
        <b/>
        <sz val="11"/>
        <color theme="1"/>
        <rFont val="Metropolis Regular"/>
      </rPr>
      <t>VMware Cloud Foundation</t>
    </r>
    <r>
      <rPr>
        <sz val="11"/>
        <color theme="1"/>
        <rFont val="Metropolis Regular"/>
      </rPr>
      <t xml:space="preserve"> documentation ( https://docs.vmware.com/en/VMware-Cloud-Foundation/index.html ) :
     - For information on deploying the management domain, see </t>
    </r>
    <r>
      <rPr>
        <b/>
        <sz val="11"/>
        <color theme="1"/>
        <rFont val="Metropolis Regular"/>
      </rPr>
      <t>VMware Cloud Foundation on Dell EMC VxRail Administration Guide</t>
    </r>
    <r>
      <rPr>
        <sz val="11"/>
        <color theme="1"/>
        <rFont val="Metropolis Regular"/>
      </rPr>
      <t>.</t>
    </r>
  </si>
  <si>
    <t>License Keys</t>
  </si>
  <si>
    <t>Licensing</t>
  </si>
  <si>
    <t>Default Password for ESXi Hosts</t>
  </si>
  <si>
    <t>vmnic0,vmnic1</t>
  </si>
  <si>
    <t>System vSphere Distributed Switch - vmnics to be used for overlay traffic</t>
  </si>
  <si>
    <t>Replaced Prerequisite Checklist Worksheet with NEW Introduction Worksheet (All prerequisites should be tracked in one place the Planning and Preparation Workbook)
Removed the Management Workloads Worksheet, moved License Keys to Deployment Parameters Worksheet (Sizing should be handled via VCF Capacity Planner)
Removed Application Virtual Network Inputs (AVN or Virtual Segments has been moved to a Day N workflow
Added Support for Defining vmnics used for Overlay Traffic</t>
  </si>
  <si>
    <t xml:space="preserve">Addressed PR 2771084 Remove FIPS configuration </t>
  </si>
  <si>
    <t>Updated Deployment Parameters Tab with official name for NSX-T Data Center</t>
  </si>
  <si>
    <t>Enable FIPS Security Mode on SDDC Manager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</si>
</sst>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d\-mmm\-yy"/>
  </numFmts>
  <fonts count="63">
    <font>
      <sz val="11"/>
      <color theme="1"/>
      <name val="Calibri"/>
      <family val="2"/>
      <scheme val="minor"/>
    </font>
    <font>
      <sz val="12"/>
      <color theme="1"/>
      <name val="Calibri"/>
      <family val="2"/>
      <scheme val="minor"/>
    </font>
    <font>
      <sz val="10"/>
      <name val="Arial"/>
      <family val="2"/>
    </font>
    <font>
      <u/>
      <sz val="10"/>
      <color indexed="12"/>
      <name val="Verdana"/>
      <family val="2"/>
    </font>
    <font>
      <sz val="12"/>
      <color theme="1"/>
      <name val="Calibri"/>
      <family val="2"/>
      <scheme val="minor"/>
    </font>
    <font>
      <u/>
      <sz val="12"/>
      <color theme="10"/>
      <name val="Calibri"/>
      <family val="2"/>
      <scheme val="minor"/>
    </font>
    <font>
      <sz val="11"/>
      <color theme="0"/>
      <name val="Calibri"/>
      <family val="1"/>
      <scheme val="minor"/>
    </font>
    <font>
      <u/>
      <sz val="11"/>
      <color theme="10"/>
      <name val="Calibri"/>
      <family val="1"/>
      <scheme val="minor"/>
    </font>
    <font>
      <sz val="11"/>
      <name val="Calibri"/>
      <family val="2"/>
      <scheme val="minor"/>
    </font>
    <font>
      <u/>
      <sz val="11"/>
      <color theme="11"/>
      <name val="Calibri"/>
      <family val="2"/>
      <scheme val="minor"/>
    </font>
    <font>
      <sz val="11"/>
      <color rgb="FF000000"/>
      <name val="Calibri"/>
      <family val="2"/>
      <scheme val="minor"/>
    </font>
    <font>
      <sz val="11"/>
      <color theme="1"/>
      <name val="Metropolis"/>
      <family val="3"/>
    </font>
    <font>
      <sz val="10"/>
      <color theme="0"/>
      <name val="Metropolis"/>
      <family val="3"/>
    </font>
    <font>
      <sz val="10"/>
      <color theme="1"/>
      <name val="Metropolis"/>
      <family val="3"/>
    </font>
    <font>
      <b/>
      <sz val="14"/>
      <color theme="0"/>
      <name val="Metropolis"/>
      <family val="3"/>
    </font>
    <font>
      <b/>
      <sz val="16"/>
      <color theme="0"/>
      <name val="Metropolis"/>
      <family val="3"/>
    </font>
    <font>
      <sz val="10.5"/>
      <name val="Metropolis"/>
      <family val="3"/>
    </font>
    <font>
      <b/>
      <sz val="10"/>
      <color theme="1"/>
      <name val="Metropolis"/>
      <family val="3"/>
    </font>
    <font>
      <sz val="10"/>
      <name val="Metropolis"/>
      <family val="3"/>
    </font>
    <font>
      <b/>
      <sz val="10"/>
      <name val="Metropolis"/>
      <family val="3"/>
    </font>
    <font>
      <b/>
      <sz val="10"/>
      <color theme="0"/>
      <name val="Metropolis"/>
      <family val="3"/>
    </font>
    <font>
      <sz val="12"/>
      <color theme="1"/>
      <name val="Metropolis"/>
      <family val="3"/>
    </font>
    <font>
      <sz val="10"/>
      <color theme="4"/>
      <name val="Metropolis"/>
      <family val="3"/>
    </font>
    <font>
      <b/>
      <sz val="10"/>
      <color theme="6"/>
      <name val="Metropolis"/>
      <family val="3"/>
    </font>
    <font>
      <sz val="10"/>
      <color rgb="FF000000"/>
      <name val="Metropolis"/>
      <family val="3"/>
    </font>
    <font>
      <b/>
      <sz val="12"/>
      <name val="Metropolis"/>
      <family val="3"/>
    </font>
    <font>
      <b/>
      <u/>
      <sz val="10"/>
      <name val="Metropolis"/>
      <family val="3"/>
    </font>
    <font>
      <b/>
      <u/>
      <sz val="10"/>
      <color theme="0"/>
      <name val="Metropolis"/>
      <family val="3"/>
    </font>
    <font>
      <b/>
      <sz val="10.5"/>
      <name val="Metropolis"/>
      <family val="3"/>
    </font>
    <font>
      <sz val="10"/>
      <color theme="6"/>
      <name val="Metropolis"/>
      <family val="3"/>
    </font>
    <font>
      <sz val="10"/>
      <color theme="1"/>
      <name val="Calibri"/>
      <family val="2"/>
      <scheme val="minor"/>
    </font>
    <font>
      <b/>
      <sz val="12"/>
      <color theme="0"/>
      <name val="Metropolis"/>
      <family val="3"/>
    </font>
    <font>
      <sz val="11"/>
      <color theme="0"/>
      <name val="Metropolis"/>
      <family val="3"/>
    </font>
    <font>
      <b/>
      <i/>
      <sz val="9"/>
      <name val="Metropolis"/>
      <family val="3"/>
    </font>
    <font>
      <b/>
      <sz val="12"/>
      <color theme="1"/>
      <name val="Calibri"/>
      <family val="2"/>
      <scheme val="minor"/>
    </font>
    <font>
      <b/>
      <sz val="11"/>
      <color theme="1"/>
      <name val="Calibri"/>
      <family val="2"/>
      <scheme val="minor"/>
    </font>
    <font>
      <sz val="8"/>
      <name val="Calibri"/>
      <family val="2"/>
      <scheme val="minor"/>
    </font>
    <font>
      <sz val="10"/>
      <color theme="1"/>
      <name val="Metropolis"/>
    </font>
    <font>
      <b/>
      <sz val="10"/>
      <color theme="1"/>
      <name val="Metropolis"/>
    </font>
    <font>
      <b/>
      <sz val="10"/>
      <color theme="0"/>
      <name val="Metropolis"/>
    </font>
    <font>
      <sz val="10"/>
      <color theme="0"/>
      <name val="Metropolis"/>
    </font>
    <font>
      <sz val="10"/>
      <name val="Metropolis"/>
    </font>
    <font>
      <sz val="10"/>
      <color rgb="FFFF0000"/>
      <name val="Metropolis"/>
    </font>
    <font>
      <b/>
      <sz val="10"/>
      <name val="Metropolis"/>
    </font>
    <font>
      <sz val="10.5"/>
      <name val="Metropolis"/>
    </font>
    <font>
      <i/>
      <sz val="10.5"/>
      <name val="Metropolis"/>
    </font>
    <font>
      <sz val="10.5"/>
      <color rgb="FFFF0000"/>
      <name val="Metropolis"/>
    </font>
    <font>
      <b/>
      <sz val="10.5"/>
      <color rgb="FFFF0000"/>
      <name val="Metropolis"/>
    </font>
    <font>
      <b/>
      <sz val="10.5"/>
      <name val="Metropolis"/>
    </font>
    <font>
      <i/>
      <sz val="10"/>
      <name val="Metropolis"/>
    </font>
    <font>
      <sz val="10"/>
      <color rgb="FFFFFFFF"/>
      <name val="Metropolis"/>
      <family val="3"/>
    </font>
    <font>
      <sz val="10"/>
      <color rgb="FFFF0000"/>
      <name val="Metropolis"/>
      <family val="3"/>
    </font>
    <font>
      <sz val="11"/>
      <color rgb="FFFF0000"/>
      <name val="Calibri"/>
      <family val="2"/>
      <scheme val="minor"/>
    </font>
    <font>
      <b/>
      <sz val="12"/>
      <color theme="0"/>
      <name val="Metropolis"/>
    </font>
    <font>
      <sz val="11"/>
      <color theme="0"/>
      <name val="Calibri"/>
      <family val="2"/>
      <scheme val="minor"/>
    </font>
    <font>
      <sz val="9"/>
      <color theme="1"/>
      <name val="Metropolis"/>
    </font>
    <font>
      <sz val="9"/>
      <color theme="1"/>
      <name val="Calibri"/>
      <family val="2"/>
      <scheme val="minor"/>
    </font>
    <font>
      <sz val="10.5"/>
      <color theme="0"/>
      <name val="Metropolis"/>
    </font>
    <font>
      <sz val="10.5"/>
      <color theme="1"/>
      <name val="Metropolis"/>
    </font>
    <font>
      <b/>
      <sz val="11"/>
      <color theme="0"/>
      <name val="Metropolis"/>
    </font>
    <font>
      <sz val="11"/>
      <color theme="1"/>
      <name val="Metropolis"/>
    </font>
    <font>
      <sz val="11"/>
      <color theme="1"/>
      <name val="Metropolis Regular"/>
    </font>
    <font>
      <b/>
      <sz val="11"/>
      <color theme="1"/>
      <name val="Metropolis Regular"/>
    </font>
  </fonts>
  <fills count="15">
    <fill>
      <patternFill patternType="none"/>
    </fill>
    <fill>
      <patternFill patternType="gray125"/>
    </fill>
    <fill>
      <patternFill patternType="solid">
        <fgColor theme="1"/>
        <bgColor indexed="64"/>
      </patternFill>
    </fill>
    <fill>
      <patternFill patternType="solid">
        <fgColor theme="4" tint="0.79998168889431442"/>
        <bgColor indexed="64"/>
      </patternFill>
    </fill>
    <fill>
      <patternFill patternType="solid">
        <fgColor theme="4"/>
      </patternFill>
    </fill>
    <fill>
      <patternFill patternType="solid">
        <fgColor theme="4" tint="0.39997558519241921"/>
        <bgColor indexed="65"/>
      </patternFill>
    </fill>
    <fill>
      <patternFill patternType="solid">
        <fgColor theme="4" tint="0.39997558519241921"/>
        <bgColor indexed="64"/>
      </patternFill>
    </fill>
    <fill>
      <patternFill patternType="solid">
        <fgColor theme="0" tint="-0.14999847407452621"/>
        <bgColor indexed="64"/>
      </patternFill>
    </fill>
    <fill>
      <patternFill patternType="solid">
        <fgColor theme="4" tint="-0.249977111117893"/>
        <bgColor indexed="64"/>
      </patternFill>
    </fill>
    <fill>
      <patternFill patternType="solid">
        <fgColor rgb="FFFFFFE5"/>
        <bgColor indexed="64"/>
      </patternFill>
    </fill>
    <fill>
      <patternFill patternType="solid">
        <fgColor theme="0"/>
        <bgColor indexed="64"/>
      </patternFill>
    </fill>
    <fill>
      <patternFill patternType="solid">
        <fgColor theme="4" tint="0.59999389629810485"/>
        <bgColor indexed="64"/>
      </patternFill>
    </fill>
    <fill>
      <patternFill patternType="solid">
        <fgColor theme="0" tint="-0.14996795556505021"/>
        <bgColor indexed="64"/>
      </patternFill>
    </fill>
    <fill>
      <patternFill patternType="solid">
        <fgColor rgb="FFD9D9D9"/>
        <bgColor rgb="FFD9D9D9"/>
      </patternFill>
    </fill>
    <fill>
      <patternFill patternType="solid">
        <fgColor theme="0"/>
        <bgColor rgb="FF000000"/>
      </patternFill>
    </fill>
  </fills>
  <borders count="32">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auto="1"/>
      </left>
      <right style="thin">
        <color auto="1"/>
      </right>
      <top style="thin">
        <color auto="1"/>
      </top>
      <bottom style="thin">
        <color auto="1"/>
      </bottom>
      <diagonal/>
    </border>
    <border>
      <left/>
      <right/>
      <top style="medium">
        <color auto="1"/>
      </top>
      <bottom/>
      <diagonal/>
    </border>
    <border>
      <left/>
      <right style="medium">
        <color auto="1"/>
      </right>
      <top style="medium">
        <color auto="1"/>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top/>
      <bottom/>
      <diagonal/>
    </border>
    <border>
      <left style="thin">
        <color auto="1"/>
      </left>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right style="thin">
        <color rgb="FFFFFFFF"/>
      </right>
      <top style="thin">
        <color rgb="FFFFFFFF"/>
      </top>
      <bottom style="thin">
        <color rgb="FFFFFFFF"/>
      </bottom>
      <diagonal/>
    </border>
    <border>
      <left style="thin">
        <color rgb="FFFFFFFF"/>
      </left>
      <right/>
      <top style="thin">
        <color rgb="FFFFFFFF"/>
      </top>
      <bottom style="thin">
        <color rgb="FFFFFFFF"/>
      </bottom>
      <diagonal/>
    </border>
    <border>
      <left style="thin">
        <color auto="1"/>
      </left>
      <right style="thin">
        <color auto="1"/>
      </right>
      <top/>
      <bottom style="thin">
        <color auto="1"/>
      </bottom>
      <diagonal/>
    </border>
    <border>
      <left/>
      <right style="thin">
        <color auto="1"/>
      </right>
      <top style="medium">
        <color auto="1"/>
      </top>
      <bottom style="medium">
        <color auto="1"/>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right style="thin">
        <color auto="1"/>
      </right>
      <top/>
      <bottom/>
      <diagonal/>
    </border>
  </borders>
  <cellStyleXfs count="47">
    <xf numFmtId="0" fontId="0" fillId="0" borderId="0"/>
    <xf numFmtId="0" fontId="2" fillId="0" borderId="0"/>
    <xf numFmtId="43" fontId="2" fillId="0" borderId="0" applyFont="0" applyFill="0" applyBorder="0" applyAlignment="0" applyProtection="0"/>
    <xf numFmtId="0" fontId="3" fillId="0" borderId="0" applyNumberFormat="0" applyFill="0" applyBorder="0" applyAlignment="0" applyProtection="0">
      <alignment vertical="top"/>
      <protection locked="0"/>
    </xf>
    <xf numFmtId="0" fontId="4" fillId="0" borderId="0"/>
    <xf numFmtId="0" fontId="5" fillId="0" borderId="0" applyNumberFormat="0" applyFill="0" applyBorder="0" applyAlignment="0" applyProtection="0"/>
    <xf numFmtId="0" fontId="6" fillId="5" borderId="0" applyNumberFormat="0" applyBorder="0" applyAlignment="0" applyProtection="0"/>
    <xf numFmtId="0" fontId="7" fillId="0" borderId="0" applyNumberFormat="0" applyFill="0" applyBorder="0" applyAlignment="0" applyProtection="0"/>
    <xf numFmtId="0" fontId="6" fillId="4" borderId="0" applyNumberFormat="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1" fillId="0" borderId="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cellStyleXfs>
  <cellXfs count="263">
    <xf numFmtId="0" fontId="0" fillId="0" borderId="0" xfId="0"/>
    <xf numFmtId="0" fontId="8" fillId="0" borderId="0" xfId="0" applyFont="1" applyAlignment="1"/>
    <xf numFmtId="0" fontId="8" fillId="0" borderId="0" xfId="0" applyFont="1"/>
    <xf numFmtId="0" fontId="0" fillId="0" borderId="0" xfId="0" applyFont="1"/>
    <xf numFmtId="0" fontId="8" fillId="7" borderId="0" xfId="0" applyFont="1" applyFill="1"/>
    <xf numFmtId="0" fontId="8" fillId="7" borderId="0" xfId="0" applyFont="1" applyFill="1" applyAlignment="1"/>
    <xf numFmtId="0" fontId="8" fillId="0" borderId="0" xfId="0" applyFont="1" applyFill="1" applyAlignment="1"/>
    <xf numFmtId="0" fontId="8" fillId="7" borderId="0" xfId="3" applyFont="1" applyFill="1" applyAlignment="1" applyProtection="1"/>
    <xf numFmtId="0" fontId="8" fillId="0" borderId="0" xfId="0" applyFont="1" applyFill="1"/>
    <xf numFmtId="0" fontId="0" fillId="7" borderId="0" xfId="0" applyFill="1"/>
    <xf numFmtId="0" fontId="0" fillId="0" borderId="0" xfId="0" applyFill="1"/>
    <xf numFmtId="0" fontId="10" fillId="7" borderId="0" xfId="0" applyFont="1" applyFill="1"/>
    <xf numFmtId="0" fontId="10" fillId="0" borderId="0" xfId="0" applyFont="1" applyFill="1"/>
    <xf numFmtId="0" fontId="0" fillId="0" borderId="0" xfId="0" applyAlignment="1">
      <alignment wrapText="1"/>
    </xf>
    <xf numFmtId="15" fontId="0" fillId="0" borderId="0" xfId="0" applyNumberFormat="1" applyAlignment="1">
      <alignment horizontal="center" vertical="center"/>
    </xf>
    <xf numFmtId="15" fontId="0" fillId="2" borderId="0" xfId="0" applyNumberFormat="1" applyFill="1" applyAlignment="1">
      <alignment horizontal="center" vertical="center"/>
    </xf>
    <xf numFmtId="0" fontId="0" fillId="2" borderId="0" xfId="0" applyFill="1" applyAlignment="1">
      <alignment wrapText="1"/>
    </xf>
    <xf numFmtId="0" fontId="16" fillId="0" borderId="0" xfId="1" applyFont="1" applyFill="1" applyBorder="1" applyAlignment="1"/>
    <xf numFmtId="0" fontId="16" fillId="0" borderId="0" xfId="1" applyFont="1" applyFill="1" applyBorder="1" applyAlignment="1">
      <alignment horizontal="left" wrapText="1"/>
    </xf>
    <xf numFmtId="0" fontId="16" fillId="0" borderId="0" xfId="1" applyFont="1" applyFill="1" applyBorder="1" applyAlignment="1">
      <alignment horizontal="left"/>
    </xf>
    <xf numFmtId="0" fontId="16" fillId="0" borderId="0" xfId="1" applyFont="1" applyFill="1" applyBorder="1" applyAlignment="1">
      <alignment vertical="center"/>
    </xf>
    <xf numFmtId="0" fontId="16" fillId="0" borderId="0" xfId="1" applyFont="1" applyFill="1" applyBorder="1" applyAlignment="1">
      <alignment horizontal="left" vertical="center"/>
    </xf>
    <xf numFmtId="0" fontId="16" fillId="0" borderId="0" xfId="1" applyFont="1" applyFill="1" applyBorder="1" applyAlignment="1">
      <alignment horizontal="left" vertical="top"/>
    </xf>
    <xf numFmtId="0" fontId="16" fillId="0" borderId="0" xfId="1" applyFont="1" applyFill="1" applyBorder="1" applyAlignment="1">
      <alignment horizontal="left" vertical="top" wrapText="1"/>
    </xf>
    <xf numFmtId="0" fontId="18" fillId="0" borderId="0" xfId="1" applyFont="1" applyFill="1" applyBorder="1" applyAlignment="1">
      <alignment horizontal="left"/>
    </xf>
    <xf numFmtId="0" fontId="19" fillId="6" borderId="8" xfId="1" applyFont="1" applyFill="1" applyBorder="1" applyAlignment="1">
      <alignment horizontal="center" vertical="center" wrapText="1"/>
    </xf>
    <xf numFmtId="0" fontId="19" fillId="6" borderId="2" xfId="1" applyFont="1" applyFill="1" applyBorder="1" applyAlignment="1">
      <alignment horizontal="center" vertical="center" wrapText="1"/>
    </xf>
    <xf numFmtId="0" fontId="18" fillId="0" borderId="0" xfId="1" applyFont="1" applyFill="1" applyBorder="1" applyAlignment="1">
      <alignment horizontal="left" vertical="top"/>
    </xf>
    <xf numFmtId="0" fontId="18" fillId="7" borderId="8" xfId="1" applyFont="1" applyFill="1" applyBorder="1" applyAlignment="1">
      <alignment horizontal="left" vertical="center"/>
    </xf>
    <xf numFmtId="0" fontId="18" fillId="0" borderId="0" xfId="1" applyFont="1" applyFill="1" applyBorder="1" applyAlignment="1">
      <alignment horizontal="left" vertical="top" wrapText="1"/>
    </xf>
    <xf numFmtId="0" fontId="13" fillId="10" borderId="0" xfId="4" applyFont="1" applyFill="1"/>
    <xf numFmtId="0" fontId="18" fillId="10" borderId="0" xfId="1" applyFont="1" applyFill="1" applyBorder="1" applyAlignment="1">
      <alignment horizontal="left"/>
    </xf>
    <xf numFmtId="0" fontId="18" fillId="10" borderId="0" xfId="1" applyFont="1" applyFill="1" applyBorder="1" applyAlignment="1"/>
    <xf numFmtId="0" fontId="22" fillId="10" borderId="0" xfId="1" applyFont="1" applyFill="1"/>
    <xf numFmtId="0" fontId="18" fillId="10" borderId="0" xfId="1" applyFont="1" applyFill="1" applyBorder="1" applyAlignment="1">
      <alignment horizontal="left" vertical="center"/>
    </xf>
    <xf numFmtId="0" fontId="18" fillId="10" borderId="0" xfId="1" applyFont="1" applyFill="1" applyBorder="1" applyAlignment="1">
      <alignment vertical="center"/>
    </xf>
    <xf numFmtId="0" fontId="18" fillId="0" borderId="0" xfId="1" applyFont="1" applyFill="1" applyBorder="1" applyAlignment="1">
      <alignment horizontal="left" vertical="center"/>
    </xf>
    <xf numFmtId="0" fontId="13" fillId="0" borderId="0" xfId="4" applyFont="1"/>
    <xf numFmtId="0" fontId="24" fillId="10" borderId="0" xfId="4" applyFont="1" applyFill="1"/>
    <xf numFmtId="0" fontId="14" fillId="8" borderId="5" xfId="1" applyFont="1" applyFill="1" applyBorder="1" applyAlignment="1">
      <alignment horizontal="left" vertical="center"/>
    </xf>
    <xf numFmtId="0" fontId="20" fillId="2" borderId="2" xfId="1" applyFont="1" applyFill="1" applyBorder="1" applyAlignment="1">
      <alignment vertical="center"/>
    </xf>
    <xf numFmtId="0" fontId="13" fillId="10" borderId="0" xfId="4" applyFont="1" applyFill="1" applyAlignment="1">
      <alignment vertical="center"/>
    </xf>
    <xf numFmtId="0" fontId="12" fillId="10" borderId="0" xfId="4" applyFont="1" applyFill="1" applyBorder="1" applyAlignment="1">
      <alignment vertical="center"/>
    </xf>
    <xf numFmtId="0" fontId="13" fillId="0" borderId="0" xfId="4" applyFont="1" applyAlignment="1">
      <alignment vertical="center"/>
    </xf>
    <xf numFmtId="0" fontId="17" fillId="6" borderId="2" xfId="4" applyFont="1" applyFill="1" applyBorder="1" applyAlignment="1">
      <alignment horizontal="center" vertical="center"/>
    </xf>
    <xf numFmtId="0" fontId="17" fillId="6" borderId="9" xfId="4" applyFont="1" applyFill="1" applyBorder="1" applyAlignment="1">
      <alignment horizontal="center" vertical="center"/>
    </xf>
    <xf numFmtId="0" fontId="17" fillId="10" borderId="0" xfId="4" applyFont="1" applyFill="1" applyBorder="1" applyAlignment="1">
      <alignment horizontal="center" vertical="center"/>
    </xf>
    <xf numFmtId="0" fontId="24" fillId="10" borderId="0" xfId="4" applyFont="1" applyFill="1" applyBorder="1" applyAlignment="1">
      <alignment horizontal="center" vertical="center"/>
    </xf>
    <xf numFmtId="0" fontId="24" fillId="10" borderId="0" xfId="4" applyFont="1" applyFill="1" applyBorder="1" applyAlignment="1">
      <alignment vertical="center"/>
    </xf>
    <xf numFmtId="0" fontId="20" fillId="8" borderId="6" xfId="1" applyFont="1" applyFill="1" applyBorder="1" applyAlignment="1">
      <alignment horizontal="left" vertical="center"/>
    </xf>
    <xf numFmtId="0" fontId="20" fillId="8" borderId="2" xfId="1" applyFont="1" applyFill="1" applyBorder="1" applyAlignment="1">
      <alignment horizontal="center" vertical="center"/>
    </xf>
    <xf numFmtId="0" fontId="12" fillId="2" borderId="2" xfId="1" applyFont="1" applyFill="1" applyBorder="1" applyAlignment="1">
      <alignment vertical="center"/>
    </xf>
    <xf numFmtId="0" fontId="15" fillId="8" borderId="0" xfId="1" applyFont="1" applyFill="1" applyBorder="1" applyAlignment="1">
      <alignment horizontal="left" vertical="center"/>
    </xf>
    <xf numFmtId="43" fontId="19" fillId="9" borderId="2" xfId="2" applyFont="1" applyFill="1" applyBorder="1" applyAlignment="1">
      <alignment horizontal="center" vertical="center"/>
    </xf>
    <xf numFmtId="43" fontId="19" fillId="9" borderId="1" xfId="2" applyFont="1" applyFill="1" applyBorder="1" applyAlignment="1">
      <alignment horizontal="center" vertical="center"/>
    </xf>
    <xf numFmtId="43" fontId="19" fillId="9" borderId="1" xfId="2" applyFont="1" applyFill="1" applyBorder="1" applyAlignment="1" applyProtection="1">
      <alignment horizontal="center" vertical="center"/>
      <protection locked="0"/>
    </xf>
    <xf numFmtId="0" fontId="22" fillId="0" borderId="0" xfId="1" applyFont="1"/>
    <xf numFmtId="0" fontId="18" fillId="0" borderId="0" xfId="1" applyFont="1" applyFill="1" applyBorder="1" applyAlignment="1"/>
    <xf numFmtId="0" fontId="18" fillId="0" borderId="0" xfId="1" applyFont="1" applyFill="1" applyBorder="1" applyAlignment="1">
      <alignment vertical="center"/>
    </xf>
    <xf numFmtId="0" fontId="20" fillId="8" borderId="0" xfId="1" applyFont="1" applyFill="1" applyBorder="1" applyAlignment="1">
      <alignment horizontal="left" vertical="center"/>
    </xf>
    <xf numFmtId="0" fontId="20" fillId="8" borderId="0" xfId="1" applyFont="1" applyFill="1" applyBorder="1" applyAlignment="1">
      <alignment horizontal="left" vertical="center" indent="1"/>
    </xf>
    <xf numFmtId="0" fontId="26" fillId="0" borderId="0" xfId="1" applyFont="1" applyFill="1" applyBorder="1"/>
    <xf numFmtId="0" fontId="20" fillId="2" borderId="17" xfId="1" applyFont="1" applyFill="1" applyBorder="1" applyAlignment="1">
      <alignment vertical="center"/>
    </xf>
    <xf numFmtId="0" fontId="20" fillId="2" borderId="2" xfId="1" applyFont="1" applyFill="1" applyBorder="1" applyAlignment="1">
      <alignment horizontal="left" vertical="center"/>
    </xf>
    <xf numFmtId="0" fontId="26" fillId="0" borderId="0" xfId="1" applyFont="1" applyFill="1" applyBorder="1" applyAlignment="1">
      <alignment vertical="center"/>
    </xf>
    <xf numFmtId="0" fontId="23" fillId="9" borderId="2" xfId="1" applyFont="1" applyFill="1" applyBorder="1" applyAlignment="1" applyProtection="1">
      <alignment vertical="center"/>
      <protection locked="0"/>
    </xf>
    <xf numFmtId="0" fontId="27" fillId="0" borderId="0" xfId="1" applyFont="1" applyFill="1" applyBorder="1" applyAlignment="1">
      <alignment vertical="center"/>
    </xf>
    <xf numFmtId="0" fontId="12" fillId="0" borderId="0" xfId="1" applyFont="1" applyFill="1" applyBorder="1" applyAlignment="1">
      <alignment vertical="center"/>
    </xf>
    <xf numFmtId="0" fontId="18" fillId="0" borderId="0" xfId="1" applyFont="1" applyFill="1" applyBorder="1" applyAlignment="1">
      <alignment horizontal="left" vertical="center" wrapText="1"/>
    </xf>
    <xf numFmtId="0" fontId="18" fillId="9" borderId="2" xfId="1" applyFont="1" applyFill="1" applyBorder="1" applyAlignment="1" applyProtection="1">
      <alignment vertical="center"/>
      <protection locked="0"/>
    </xf>
    <xf numFmtId="0" fontId="23" fillId="9" borderId="2" xfId="4" applyFont="1" applyFill="1" applyBorder="1" applyAlignment="1" applyProtection="1">
      <alignment horizontal="center" vertical="center"/>
      <protection locked="0"/>
    </xf>
    <xf numFmtId="0" fontId="23" fillId="9" borderId="9" xfId="4" applyFont="1" applyFill="1" applyBorder="1" applyAlignment="1" applyProtection="1">
      <alignment horizontal="center" vertical="center"/>
      <protection locked="0"/>
    </xf>
    <xf numFmtId="0" fontId="13" fillId="0" borderId="0" xfId="0" applyFont="1" applyBorder="1" applyAlignment="1">
      <alignment vertical="center" wrapText="1"/>
    </xf>
    <xf numFmtId="0" fontId="11" fillId="0" borderId="0" xfId="0" applyFont="1" applyBorder="1" applyAlignment="1">
      <alignment vertical="center" wrapText="1"/>
    </xf>
    <xf numFmtId="2" fontId="20" fillId="8" borderId="8" xfId="4" applyNumberFormat="1" applyFont="1" applyFill="1" applyBorder="1" applyAlignment="1">
      <alignment horizontal="left" vertical="center"/>
    </xf>
    <xf numFmtId="2" fontId="20" fillId="8" borderId="2" xfId="4" applyNumberFormat="1" applyFont="1" applyFill="1" applyBorder="1" applyAlignment="1">
      <alignment horizontal="left" vertical="center"/>
    </xf>
    <xf numFmtId="2" fontId="23" fillId="9" borderId="2" xfId="4" applyNumberFormat="1" applyFont="1" applyFill="1" applyBorder="1" applyAlignment="1" applyProtection="1">
      <alignment horizontal="center" vertical="center"/>
      <protection locked="0"/>
    </xf>
    <xf numFmtId="0" fontId="17" fillId="9" borderId="5" xfId="4" applyFont="1" applyFill="1" applyBorder="1" applyAlignment="1" applyProtection="1">
      <alignment horizontal="center" vertical="center"/>
      <protection locked="0"/>
    </xf>
    <xf numFmtId="0" fontId="17" fillId="9" borderId="6" xfId="4" applyFont="1" applyFill="1" applyBorder="1" applyAlignment="1" applyProtection="1">
      <alignment horizontal="center" vertical="center"/>
      <protection locked="0"/>
    </xf>
    <xf numFmtId="0" fontId="17" fillId="9" borderId="7" xfId="4" applyFont="1" applyFill="1" applyBorder="1" applyAlignment="1" applyProtection="1">
      <alignment horizontal="center" vertical="center"/>
      <protection locked="0"/>
    </xf>
    <xf numFmtId="2" fontId="23" fillId="9" borderId="8" xfId="4" applyNumberFormat="1" applyFont="1" applyFill="1" applyBorder="1" applyAlignment="1" applyProtection="1">
      <alignment horizontal="center" vertical="center"/>
      <protection locked="0"/>
    </xf>
    <xf numFmtId="2" fontId="23" fillId="9" borderId="9" xfId="4" applyNumberFormat="1" applyFont="1" applyFill="1" applyBorder="1" applyAlignment="1" applyProtection="1">
      <alignment horizontal="center" vertical="center"/>
      <protection locked="0"/>
    </xf>
    <xf numFmtId="2" fontId="20" fillId="8" borderId="10" xfId="4" applyNumberFormat="1" applyFont="1" applyFill="1" applyBorder="1" applyAlignment="1">
      <alignment horizontal="left" vertical="center"/>
    </xf>
    <xf numFmtId="2" fontId="20" fillId="8" borderId="11" xfId="4" applyNumberFormat="1" applyFont="1" applyFill="1" applyBorder="1" applyAlignment="1">
      <alignment horizontal="left" vertical="center"/>
    </xf>
    <xf numFmtId="15" fontId="0" fillId="0" borderId="0" xfId="0" applyNumberFormat="1" applyAlignment="1">
      <alignment horizontal="center" vertical="center"/>
    </xf>
    <xf numFmtId="0" fontId="12" fillId="2" borderId="2" xfId="1" applyFont="1" applyFill="1" applyBorder="1" applyAlignment="1" applyProtection="1">
      <alignment vertical="center"/>
    </xf>
    <xf numFmtId="0" fontId="18" fillId="9" borderId="2" xfId="1" applyFont="1" applyFill="1" applyBorder="1" applyAlignment="1" applyProtection="1">
      <alignment vertical="center"/>
      <protection locked="0"/>
    </xf>
    <xf numFmtId="0" fontId="23" fillId="9" borderId="2" xfId="1" applyFont="1" applyFill="1" applyBorder="1" applyAlignment="1" applyProtection="1">
      <alignment vertical="center"/>
      <protection locked="0"/>
    </xf>
    <xf numFmtId="0" fontId="18" fillId="0" borderId="0" xfId="1" applyFont="1" applyFill="1" applyBorder="1" applyAlignment="1" applyProtection="1">
      <alignment horizontal="left" vertical="center"/>
    </xf>
    <xf numFmtId="0" fontId="15" fillId="8" borderId="0" xfId="1" applyFont="1" applyFill="1" applyBorder="1" applyAlignment="1" applyProtection="1">
      <alignment horizontal="left" vertical="center"/>
    </xf>
    <xf numFmtId="0" fontId="20" fillId="8" borderId="0" xfId="1" applyFont="1" applyFill="1" applyBorder="1" applyAlignment="1" applyProtection="1">
      <alignment horizontal="left" vertical="center"/>
    </xf>
    <xf numFmtId="0" fontId="32" fillId="2" borderId="2" xfId="1" applyFont="1" applyFill="1" applyBorder="1" applyAlignment="1" applyProtection="1">
      <alignment vertical="center"/>
    </xf>
    <xf numFmtId="43" fontId="19" fillId="9" borderId="1" xfId="2" applyFont="1" applyFill="1" applyBorder="1" applyAlignment="1" applyProtection="1">
      <alignment horizontal="center" vertical="center"/>
    </xf>
    <xf numFmtId="0" fontId="18" fillId="7" borderId="8" xfId="1" applyFont="1" applyFill="1" applyBorder="1" applyAlignment="1" applyProtection="1">
      <alignment horizontal="left" vertical="center"/>
    </xf>
    <xf numFmtId="15" fontId="0" fillId="0" borderId="0" xfId="0" applyNumberFormat="1" applyAlignment="1">
      <alignment horizontal="center" vertical="center"/>
    </xf>
    <xf numFmtId="15" fontId="0" fillId="0" borderId="0" xfId="0" applyNumberFormat="1" applyAlignment="1">
      <alignment horizontal="center" vertical="center"/>
    </xf>
    <xf numFmtId="0" fontId="0" fillId="0" borderId="0" xfId="0"/>
    <xf numFmtId="0" fontId="0" fillId="0" borderId="0" xfId="0"/>
    <xf numFmtId="15" fontId="0" fillId="0" borderId="0" xfId="0" applyNumberFormat="1" applyAlignment="1">
      <alignment horizontal="center" vertical="center"/>
    </xf>
    <xf numFmtId="15" fontId="0" fillId="0" borderId="0" xfId="0" applyNumberFormat="1" applyAlignment="1">
      <alignment horizontal="center" vertical="center"/>
    </xf>
    <xf numFmtId="0" fontId="34" fillId="7" borderId="21" xfId="0" applyFont="1" applyFill="1" applyBorder="1" applyAlignment="1">
      <alignment horizontal="center" vertical="center" wrapText="1"/>
    </xf>
    <xf numFmtId="49" fontId="18" fillId="9" borderId="2" xfId="1" applyNumberFormat="1" applyFont="1" applyFill="1" applyBorder="1" applyAlignment="1" applyProtection="1">
      <alignment horizontal="left" vertical="center"/>
      <protection locked="0"/>
    </xf>
    <xf numFmtId="15" fontId="10" fillId="13" borderId="22" xfId="0" applyNumberFormat="1" applyFont="1" applyFill="1" applyBorder="1" applyAlignment="1">
      <alignment horizontal="center" vertical="center"/>
    </xf>
    <xf numFmtId="0" fontId="10" fillId="13" borderId="23" xfId="0" applyFont="1" applyFill="1" applyBorder="1" applyAlignment="1">
      <alignment wrapText="1"/>
    </xf>
    <xf numFmtId="15" fontId="10" fillId="13" borderId="0" xfId="0" applyNumberFormat="1" applyFont="1" applyFill="1" applyBorder="1" applyAlignment="1">
      <alignment horizontal="center" vertical="center"/>
    </xf>
    <xf numFmtId="0" fontId="10" fillId="13" borderId="0" xfId="0" applyFont="1" applyFill="1" applyBorder="1" applyAlignment="1">
      <alignment wrapText="1"/>
    </xf>
    <xf numFmtId="0" fontId="18" fillId="7" borderId="10" xfId="1" applyFont="1" applyFill="1" applyBorder="1" applyAlignment="1">
      <alignment horizontal="left" vertical="center"/>
    </xf>
    <xf numFmtId="15" fontId="0" fillId="0" borderId="0" xfId="0" applyNumberFormat="1" applyAlignment="1">
      <alignment horizontal="center" vertical="center"/>
    </xf>
    <xf numFmtId="0" fontId="35" fillId="7" borderId="0" xfId="0" applyFont="1" applyFill="1" applyAlignment="1">
      <alignment horizontal="center"/>
    </xf>
    <xf numFmtId="0" fontId="29" fillId="7" borderId="2" xfId="4" applyFont="1" applyFill="1" applyBorder="1" applyAlignment="1" applyProtection="1">
      <alignment horizontal="left" vertical="center" wrapText="1"/>
    </xf>
    <xf numFmtId="0" fontId="24" fillId="7" borderId="2" xfId="4" applyFont="1" applyFill="1" applyBorder="1" applyAlignment="1" applyProtection="1">
      <alignment horizontal="left" vertical="center"/>
    </xf>
    <xf numFmtId="15" fontId="0" fillId="0" borderId="0" xfId="0" applyNumberFormat="1" applyAlignment="1">
      <alignment horizontal="center" vertical="center"/>
    </xf>
    <xf numFmtId="0" fontId="18" fillId="9" borderId="2" xfId="1" applyFont="1" applyFill="1" applyBorder="1" applyAlignment="1" applyProtection="1">
      <alignment vertical="center"/>
      <protection locked="0"/>
    </xf>
    <xf numFmtId="0" fontId="8" fillId="0" borderId="0" xfId="3" applyFont="1" applyFill="1" applyAlignment="1" applyProtection="1"/>
    <xf numFmtId="0" fontId="13" fillId="9" borderId="2" xfId="4" applyFont="1" applyFill="1" applyBorder="1" applyAlignment="1" applyProtection="1">
      <alignment horizontal="center" vertical="center"/>
      <protection locked="0"/>
    </xf>
    <xf numFmtId="0" fontId="40" fillId="2" borderId="2" xfId="1" applyFont="1" applyFill="1" applyBorder="1" applyAlignment="1">
      <alignment vertical="center"/>
    </xf>
    <xf numFmtId="0" fontId="13" fillId="10" borderId="0" xfId="4" applyFont="1" applyFill="1" applyProtection="1"/>
    <xf numFmtId="0" fontId="24" fillId="10" borderId="0" xfId="4" applyFont="1" applyFill="1" applyProtection="1"/>
    <xf numFmtId="0" fontId="12" fillId="10" borderId="0" xfId="4" applyFont="1" applyFill="1" applyProtection="1"/>
    <xf numFmtId="0" fontId="24" fillId="10" borderId="0" xfId="4" applyFont="1" applyFill="1" applyBorder="1" applyAlignment="1" applyProtection="1">
      <alignment horizontal="center"/>
    </xf>
    <xf numFmtId="164" fontId="0" fillId="0" borderId="0" xfId="0" applyNumberFormat="1" applyAlignment="1">
      <alignment horizontal="center" vertical="center"/>
    </xf>
    <xf numFmtId="0" fontId="13" fillId="12" borderId="2" xfId="4" applyFont="1" applyFill="1" applyBorder="1" applyAlignment="1" applyProtection="1">
      <alignment horizontal="center" vertical="center"/>
    </xf>
    <xf numFmtId="0" fontId="37" fillId="12" borderId="9" xfId="4" applyFont="1" applyFill="1" applyBorder="1" applyAlignment="1" applyProtection="1">
      <alignment horizontal="center" vertical="center"/>
    </xf>
    <xf numFmtId="0" fontId="37" fillId="12" borderId="2" xfId="4" applyFont="1" applyFill="1" applyBorder="1" applyAlignment="1" applyProtection="1">
      <alignment horizontal="center" vertical="center"/>
    </xf>
    <xf numFmtId="0" fontId="37" fillId="12" borderId="11" xfId="4" applyFont="1" applyFill="1" applyBorder="1" applyAlignment="1" applyProtection="1">
      <alignment horizontal="center" vertical="center"/>
    </xf>
    <xf numFmtId="0" fontId="37" fillId="12" borderId="12" xfId="4" applyFont="1" applyFill="1" applyBorder="1" applyAlignment="1" applyProtection="1">
      <alignment horizontal="center" vertical="center"/>
    </xf>
    <xf numFmtId="0" fontId="52" fillId="0" borderId="0" xfId="0" applyFont="1" applyAlignment="1">
      <alignment horizontal="left" vertical="center" wrapText="1"/>
    </xf>
    <xf numFmtId="0" fontId="19" fillId="6" borderId="9" xfId="1" applyFont="1" applyFill="1" applyBorder="1" applyAlignment="1">
      <alignment horizontal="center" vertical="center" wrapText="1"/>
    </xf>
    <xf numFmtId="0" fontId="37" fillId="9" borderId="4" xfId="4" applyFont="1" applyFill="1" applyBorder="1" applyAlignment="1" applyProtection="1">
      <alignment horizontal="center"/>
      <protection locked="0"/>
    </xf>
    <xf numFmtId="0" fontId="40" fillId="2" borderId="16" xfId="4" applyFont="1" applyFill="1" applyBorder="1"/>
    <xf numFmtId="0" fontId="37" fillId="10" borderId="0" xfId="4" applyFont="1" applyFill="1"/>
    <xf numFmtId="0" fontId="40" fillId="2" borderId="8" xfId="4" applyFont="1" applyFill="1" applyBorder="1"/>
    <xf numFmtId="0" fontId="37" fillId="9" borderId="2" xfId="4" applyFont="1" applyFill="1" applyBorder="1" applyAlignment="1" applyProtection="1">
      <alignment horizontal="center"/>
      <protection locked="0"/>
    </xf>
    <xf numFmtId="0" fontId="40" fillId="2" borderId="2" xfId="4" applyFont="1" applyFill="1" applyBorder="1"/>
    <xf numFmtId="0" fontId="37" fillId="9" borderId="7" xfId="4" applyFont="1" applyFill="1" applyBorder="1" applyAlignment="1" applyProtection="1">
      <alignment horizontal="center"/>
      <protection locked="0"/>
    </xf>
    <xf numFmtId="0" fontId="40" fillId="2" borderId="10" xfId="4" applyFont="1" applyFill="1" applyBorder="1"/>
    <xf numFmtId="0" fontId="37" fillId="9" borderId="11" xfId="4" applyFont="1" applyFill="1" applyBorder="1" applyAlignment="1" applyProtection="1">
      <alignment horizontal="center"/>
      <protection locked="0"/>
    </xf>
    <xf numFmtId="0" fontId="40" fillId="2" borderId="11" xfId="4" applyFont="1" applyFill="1" applyBorder="1"/>
    <xf numFmtId="0" fontId="37" fillId="9" borderId="12" xfId="4" applyFont="1" applyFill="1" applyBorder="1" applyAlignment="1" applyProtection="1">
      <alignment horizontal="center"/>
      <protection locked="0"/>
    </xf>
    <xf numFmtId="0" fontId="39" fillId="8" borderId="26" xfId="4" applyFont="1" applyFill="1" applyBorder="1" applyAlignment="1">
      <alignment vertical="center"/>
    </xf>
    <xf numFmtId="0" fontId="40" fillId="2" borderId="27" xfId="1" applyFont="1" applyFill="1" applyBorder="1" applyAlignment="1">
      <alignment vertical="center"/>
    </xf>
    <xf numFmtId="0" fontId="37" fillId="9" borderId="28" xfId="4" applyFont="1" applyFill="1" applyBorder="1" applyAlignment="1" applyProtection="1">
      <alignment horizontal="center" vertical="center"/>
      <protection locked="0"/>
    </xf>
    <xf numFmtId="0" fontId="38" fillId="6" borderId="5" xfId="4" applyFont="1" applyFill="1" applyBorder="1" applyAlignment="1">
      <alignment horizontal="center" vertical="center"/>
    </xf>
    <xf numFmtId="0" fontId="37" fillId="7" borderId="8" xfId="4" applyFont="1" applyFill="1" applyBorder="1"/>
    <xf numFmtId="0" fontId="37" fillId="7" borderId="10" xfId="4" applyFont="1" applyFill="1" applyBorder="1"/>
    <xf numFmtId="2" fontId="40" fillId="2" borderId="26" xfId="4" applyNumberFormat="1" applyFont="1" applyFill="1" applyBorder="1" applyAlignment="1">
      <alignment horizontal="left" vertical="center"/>
    </xf>
    <xf numFmtId="0" fontId="18" fillId="9" borderId="2" xfId="1" applyFont="1" applyFill="1" applyBorder="1" applyAlignment="1" applyProtection="1">
      <alignment horizontal="left" vertical="center"/>
      <protection locked="0"/>
    </xf>
    <xf numFmtId="0" fontId="12" fillId="8" borderId="7" xfId="1" applyFont="1" applyFill="1" applyBorder="1" applyAlignment="1">
      <alignment horizontal="left" vertical="center" wrapText="1"/>
    </xf>
    <xf numFmtId="0" fontId="18" fillId="0" borderId="9" xfId="1" applyFont="1" applyFill="1" applyBorder="1" applyAlignment="1" applyProtection="1">
      <alignment horizontal="left" vertical="center" wrapText="1"/>
    </xf>
    <xf numFmtId="0" fontId="18" fillId="0" borderId="9" xfId="1" applyFont="1" applyFill="1" applyBorder="1" applyAlignment="1">
      <alignment horizontal="left" vertical="center" wrapText="1"/>
    </xf>
    <xf numFmtId="0" fontId="18" fillId="9" borderId="11" xfId="1" applyFont="1" applyFill="1" applyBorder="1" applyAlignment="1" applyProtection="1">
      <alignment horizontal="left" vertical="center"/>
      <protection locked="0"/>
    </xf>
    <xf numFmtId="0" fontId="18" fillId="0" borderId="12" xfId="1" applyFont="1" applyFill="1" applyBorder="1" applyAlignment="1">
      <alignment horizontal="left" vertical="center" wrapText="1"/>
    </xf>
    <xf numFmtId="0" fontId="13" fillId="9" borderId="2" xfId="4" applyFont="1" applyFill="1" applyBorder="1" applyProtection="1">
      <protection locked="0"/>
    </xf>
    <xf numFmtId="0" fontId="57" fillId="0" borderId="0" xfId="0" applyFont="1" applyAlignment="1">
      <alignment horizontal="center" vertical="center"/>
    </xf>
    <xf numFmtId="0" fontId="58" fillId="0" borderId="0" xfId="0" applyFont="1" applyAlignment="1">
      <alignment horizontal="center" vertical="center"/>
    </xf>
    <xf numFmtId="0" fontId="58" fillId="10" borderId="0" xfId="0" applyFont="1" applyFill="1" applyAlignment="1">
      <alignment horizontal="center" vertical="center"/>
    </xf>
    <xf numFmtId="0" fontId="30" fillId="10" borderId="0" xfId="0" applyFont="1" applyFill="1" applyAlignment="1">
      <alignment horizontal="left" vertical="center" wrapText="1"/>
    </xf>
    <xf numFmtId="0" fontId="57" fillId="10" borderId="0" xfId="0" applyFont="1" applyFill="1" applyAlignment="1">
      <alignment horizontal="center" vertical="center"/>
    </xf>
    <xf numFmtId="0" fontId="58" fillId="10" borderId="0" xfId="0" applyFont="1" applyFill="1"/>
    <xf numFmtId="0" fontId="60" fillId="10" borderId="0" xfId="0" applyFont="1" applyFill="1"/>
    <xf numFmtId="0" fontId="58" fillId="3" borderId="0" xfId="0" applyFont="1" applyFill="1"/>
    <xf numFmtId="0" fontId="12" fillId="2" borderId="2" xfId="1" applyFont="1" applyFill="1" applyBorder="1" applyAlignment="1" applyProtection="1">
      <alignment vertical="center"/>
    </xf>
    <xf numFmtId="49" fontId="41" fillId="9" borderId="2" xfId="1" applyNumberFormat="1" applyFont="1" applyFill="1" applyBorder="1" applyAlignment="1" applyProtection="1">
      <alignment horizontal="left" vertical="center"/>
      <protection locked="0"/>
    </xf>
    <xf numFmtId="0" fontId="37" fillId="7" borderId="13" xfId="0" applyFont="1" applyFill="1" applyBorder="1" applyAlignment="1">
      <alignment horizontal="left" vertical="center" wrapText="1" indent="1"/>
    </xf>
    <xf numFmtId="0" fontId="30" fillId="7" borderId="14" xfId="0" applyFont="1" applyFill="1" applyBorder="1" applyAlignment="1">
      <alignment horizontal="left" vertical="center" wrapText="1" indent="1"/>
    </xf>
    <xf numFmtId="0" fontId="30" fillId="7" borderId="15" xfId="0" applyFont="1" applyFill="1" applyBorder="1" applyAlignment="1">
      <alignment horizontal="left" vertical="center" wrapText="1" indent="1"/>
    </xf>
    <xf numFmtId="0" fontId="59" fillId="8" borderId="5" xfId="1" applyFont="1" applyFill="1" applyBorder="1" applyAlignment="1">
      <alignment horizontal="left" vertical="center"/>
    </xf>
    <xf numFmtId="0" fontId="0" fillId="0" borderId="6" xfId="0" applyBorder="1"/>
    <xf numFmtId="0" fontId="0" fillId="0" borderId="7" xfId="0" applyBorder="1"/>
    <xf numFmtId="0" fontId="61" fillId="0" borderId="8" xfId="0" applyFont="1" applyBorder="1" applyAlignment="1">
      <alignment horizontal="left" vertical="center" wrapText="1" indent="1"/>
    </xf>
    <xf numFmtId="0" fontId="61" fillId="0" borderId="2" xfId="0" applyFont="1" applyBorder="1" applyAlignment="1">
      <alignment horizontal="left" vertical="center" wrapText="1" indent="1"/>
    </xf>
    <xf numFmtId="0" fontId="0" fillId="0" borderId="2" xfId="0" applyBorder="1" applyAlignment="1">
      <alignment horizontal="left" indent="1"/>
    </xf>
    <xf numFmtId="0" fontId="0" fillId="0" borderId="9" xfId="0" applyBorder="1" applyAlignment="1">
      <alignment horizontal="left" indent="1"/>
    </xf>
    <xf numFmtId="0" fontId="61" fillId="0" borderId="29" xfId="0" applyFont="1" applyBorder="1" applyAlignment="1">
      <alignment horizontal="left" vertical="center" wrapText="1" indent="1"/>
    </xf>
    <xf numFmtId="0" fontId="61" fillId="0" borderId="17" xfId="0" applyFont="1" applyBorder="1" applyAlignment="1">
      <alignment horizontal="left" vertical="center" wrapText="1" indent="1"/>
    </xf>
    <xf numFmtId="0" fontId="0" fillId="0" borderId="17" xfId="0" applyBorder="1" applyAlignment="1">
      <alignment horizontal="left" indent="1"/>
    </xf>
    <xf numFmtId="0" fontId="0" fillId="0" borderId="30" xfId="0" applyBorder="1" applyAlignment="1">
      <alignment horizontal="left" indent="1"/>
    </xf>
    <xf numFmtId="0" fontId="61" fillId="0" borderId="10" xfId="0" applyFont="1" applyBorder="1" applyAlignment="1">
      <alignment horizontal="left" vertical="center" wrapText="1" indent="1"/>
    </xf>
    <xf numFmtId="0" fontId="61" fillId="0" borderId="11" xfId="0" applyFont="1" applyBorder="1" applyAlignment="1">
      <alignment horizontal="left" vertical="center" wrapText="1" indent="1"/>
    </xf>
    <xf numFmtId="0" fontId="0" fillId="0" borderId="11" xfId="0" applyBorder="1" applyAlignment="1">
      <alignment horizontal="left" indent="1"/>
    </xf>
    <xf numFmtId="0" fontId="0" fillId="0" borderId="12" xfId="0" applyBorder="1" applyAlignment="1">
      <alignment horizontal="left" indent="1"/>
    </xf>
    <xf numFmtId="0" fontId="19" fillId="7" borderId="13" xfId="3" applyFont="1" applyFill="1" applyBorder="1" applyAlignment="1" applyProtection="1">
      <alignment horizontal="left" vertical="center" wrapText="1"/>
    </xf>
    <xf numFmtId="0" fontId="30" fillId="0" borderId="14" xfId="0" applyFont="1" applyBorder="1" applyAlignment="1">
      <alignment horizontal="left" vertical="center" wrapText="1"/>
    </xf>
    <xf numFmtId="0" fontId="30" fillId="0" borderId="15" xfId="0" applyFont="1" applyBorder="1" applyAlignment="1">
      <alignment horizontal="left" vertical="center" wrapText="1"/>
    </xf>
    <xf numFmtId="0" fontId="25" fillId="11" borderId="8" xfId="1" applyFont="1" applyFill="1" applyBorder="1" applyAlignment="1">
      <alignment horizontal="left" vertical="center" wrapText="1"/>
    </xf>
    <xf numFmtId="0" fontId="21" fillId="11" borderId="2" xfId="0" applyFont="1" applyFill="1" applyBorder="1" applyAlignment="1">
      <alignment horizontal="left" vertical="center" wrapText="1"/>
    </xf>
    <xf numFmtId="0" fontId="21" fillId="11" borderId="9" xfId="0" applyFont="1" applyFill="1" applyBorder="1" applyAlignment="1">
      <alignment horizontal="left" vertical="center" wrapText="1"/>
    </xf>
    <xf numFmtId="0" fontId="25" fillId="11" borderId="8" xfId="1" applyFont="1" applyFill="1" applyBorder="1" applyAlignment="1" applyProtection="1">
      <alignment horizontal="left" vertical="center" wrapText="1"/>
    </xf>
    <xf numFmtId="0" fontId="21" fillId="11" borderId="2" xfId="0" applyFont="1" applyFill="1" applyBorder="1" applyAlignment="1" applyProtection="1">
      <alignment horizontal="left" vertical="center" wrapText="1"/>
    </xf>
    <xf numFmtId="0" fontId="21" fillId="11" borderId="9" xfId="0" applyFont="1" applyFill="1" applyBorder="1" applyAlignment="1" applyProtection="1">
      <alignment horizontal="left" vertical="center" wrapText="1"/>
    </xf>
    <xf numFmtId="0" fontId="20" fillId="2" borderId="2" xfId="1" applyFont="1" applyFill="1" applyBorder="1" applyAlignment="1">
      <alignment vertical="center"/>
    </xf>
    <xf numFmtId="0" fontId="35" fillId="0" borderId="2" xfId="0" applyFont="1" applyBorder="1"/>
    <xf numFmtId="0" fontId="55" fillId="7" borderId="2" xfId="4" applyFont="1" applyFill="1" applyBorder="1" applyAlignment="1" applyProtection="1">
      <alignment horizontal="left"/>
      <protection locked="0"/>
    </xf>
    <xf numFmtId="0" fontId="56" fillId="7" borderId="9" xfId="0" applyFont="1" applyFill="1" applyBorder="1" applyAlignment="1" applyProtection="1">
      <alignment horizontal="left"/>
      <protection locked="0"/>
    </xf>
    <xf numFmtId="0" fontId="55" fillId="9" borderId="2" xfId="4" applyFont="1" applyFill="1" applyBorder="1" applyAlignment="1" applyProtection="1">
      <alignment horizontal="left"/>
      <protection locked="0"/>
    </xf>
    <xf numFmtId="0" fontId="56" fillId="9" borderId="9" xfId="0" applyFont="1" applyFill="1" applyBorder="1" applyAlignment="1" applyProtection="1">
      <alignment horizontal="left"/>
      <protection locked="0"/>
    </xf>
    <xf numFmtId="0" fontId="56" fillId="9" borderId="2" xfId="0" applyFont="1" applyFill="1" applyBorder="1" applyAlignment="1" applyProtection="1">
      <alignment horizontal="left"/>
      <protection locked="0"/>
    </xf>
    <xf numFmtId="0" fontId="55" fillId="9" borderId="11" xfId="4" applyFont="1" applyFill="1" applyBorder="1" applyAlignment="1" applyProtection="1">
      <alignment horizontal="left"/>
      <protection locked="0"/>
    </xf>
    <xf numFmtId="0" fontId="56" fillId="9" borderId="12" xfId="0" applyFont="1" applyFill="1" applyBorder="1" applyAlignment="1" applyProtection="1">
      <alignment horizontal="left"/>
      <protection locked="0"/>
    </xf>
    <xf numFmtId="0" fontId="18" fillId="10" borderId="0" xfId="1" applyFont="1" applyFill="1" applyBorder="1" applyAlignment="1" applyProtection="1">
      <alignment vertical="center"/>
      <protection locked="0"/>
    </xf>
    <xf numFmtId="0" fontId="0" fillId="10" borderId="0" xfId="0" applyFill="1" applyBorder="1" applyAlignment="1" applyProtection="1">
      <alignment vertical="center"/>
      <protection locked="0"/>
    </xf>
    <xf numFmtId="0" fontId="18" fillId="9" borderId="2" xfId="1" applyFont="1" applyFill="1" applyBorder="1" applyAlignment="1" applyProtection="1">
      <alignment vertical="center"/>
      <protection locked="0"/>
    </xf>
    <xf numFmtId="0" fontId="0" fillId="0" borderId="2" xfId="0" applyBorder="1" applyAlignment="1">
      <alignment vertical="center"/>
    </xf>
    <xf numFmtId="0" fontId="12" fillId="2" borderId="2" xfId="1" applyFont="1" applyFill="1" applyBorder="1" applyAlignment="1" applyProtection="1">
      <alignment vertical="center"/>
    </xf>
    <xf numFmtId="2" fontId="20" fillId="2" borderId="2" xfId="4" applyNumberFormat="1" applyFont="1" applyFill="1" applyBorder="1" applyAlignment="1">
      <alignment horizontal="left" vertical="center"/>
    </xf>
    <xf numFmtId="0" fontId="0" fillId="2" borderId="2" xfId="0" applyFill="1" applyBorder="1" applyAlignment="1">
      <alignment horizontal="left" vertical="center"/>
    </xf>
    <xf numFmtId="0" fontId="0" fillId="0" borderId="2" xfId="0" applyBorder="1"/>
    <xf numFmtId="0" fontId="20" fillId="8" borderId="2" xfId="1" applyFont="1" applyFill="1" applyBorder="1" applyAlignment="1" applyProtection="1">
      <alignment horizontal="center" vertical="center"/>
    </xf>
    <xf numFmtId="0" fontId="0" fillId="0" borderId="2" xfId="0" applyBorder="1" applyAlignment="1" applyProtection="1">
      <alignment horizontal="center" vertical="center"/>
    </xf>
    <xf numFmtId="0" fontId="0" fillId="0" borderId="2" xfId="0" applyBorder="1" applyAlignment="1" applyProtection="1">
      <alignment vertical="center"/>
      <protection locked="0"/>
    </xf>
    <xf numFmtId="0" fontId="40" fillId="2" borderId="13" xfId="4" applyFont="1" applyFill="1" applyBorder="1"/>
    <xf numFmtId="0" fontId="54" fillId="2" borderId="3" xfId="0" applyFont="1" applyFill="1" applyBorder="1"/>
    <xf numFmtId="0" fontId="37" fillId="9" borderId="2" xfId="4" applyFont="1" applyFill="1" applyBorder="1" applyProtection="1">
      <protection locked="0"/>
    </xf>
    <xf numFmtId="0" fontId="0" fillId="9" borderId="9" xfId="0" applyFill="1" applyBorder="1" applyProtection="1">
      <protection locked="0"/>
    </xf>
    <xf numFmtId="0" fontId="0" fillId="0" borderId="9" xfId="0" applyBorder="1" applyProtection="1">
      <protection locked="0"/>
    </xf>
    <xf numFmtId="0" fontId="28" fillId="7" borderId="13" xfId="3" applyFont="1" applyFill="1" applyBorder="1" applyAlignment="1" applyProtection="1">
      <alignment vertical="center" wrapText="1"/>
    </xf>
    <xf numFmtId="0" fontId="28" fillId="7" borderId="14" xfId="3" applyFont="1" applyFill="1" applyBorder="1" applyAlignment="1" applyProtection="1">
      <alignment vertical="center" wrapText="1"/>
    </xf>
    <xf numFmtId="0" fontId="11" fillId="0" borderId="14" xfId="0" applyFont="1" applyBorder="1" applyAlignment="1"/>
    <xf numFmtId="0" fontId="11" fillId="0" borderId="15" xfId="0" applyFont="1" applyBorder="1" applyAlignment="1"/>
    <xf numFmtId="0" fontId="31" fillId="2" borderId="5" xfId="4" applyFont="1" applyFill="1" applyBorder="1" applyAlignment="1">
      <alignment horizontal="center" vertical="center"/>
    </xf>
    <xf numFmtId="0" fontId="31" fillId="2" borderId="6" xfId="4" applyFont="1" applyFill="1" applyBorder="1" applyAlignment="1">
      <alignment horizontal="center" vertical="center"/>
    </xf>
    <xf numFmtId="0" fontId="21" fillId="2" borderId="6" xfId="0" applyFont="1" applyFill="1" applyBorder="1" applyAlignment="1">
      <alignment horizontal="center" vertical="center"/>
    </xf>
    <xf numFmtId="0" fontId="21" fillId="2" borderId="7" xfId="0" applyFont="1" applyFill="1" applyBorder="1" applyAlignment="1">
      <alignment horizontal="center" vertical="center"/>
    </xf>
    <xf numFmtId="0" fontId="20" fillId="8" borderId="24" xfId="1" applyFont="1" applyFill="1" applyBorder="1" applyAlignment="1" applyProtection="1">
      <alignment horizontal="center" vertical="center"/>
    </xf>
    <xf numFmtId="0" fontId="0" fillId="0" borderId="24" xfId="0" applyBorder="1" applyAlignment="1" applyProtection="1">
      <alignment horizontal="center" vertical="center"/>
    </xf>
    <xf numFmtId="0" fontId="13" fillId="9" borderId="2" xfId="1" applyFont="1" applyFill="1" applyBorder="1" applyAlignment="1" applyProtection="1">
      <alignment horizontal="left" vertical="center"/>
      <protection locked="0"/>
    </xf>
    <xf numFmtId="0" fontId="0" fillId="0" borderId="2" xfId="0" applyBorder="1" applyAlignment="1" applyProtection="1">
      <alignment horizontal="left" vertical="center"/>
      <protection locked="0"/>
    </xf>
    <xf numFmtId="0" fontId="12" fillId="2" borderId="24" xfId="1" applyFont="1" applyFill="1" applyBorder="1" applyAlignment="1" applyProtection="1">
      <alignment vertical="center"/>
    </xf>
    <xf numFmtId="0" fontId="31" fillId="2" borderId="13" xfId="4" applyFont="1" applyFill="1" applyBorder="1" applyAlignment="1">
      <alignment horizontal="center" vertical="center"/>
    </xf>
    <xf numFmtId="0" fontId="0" fillId="0" borderId="14" xfId="0" applyBorder="1" applyAlignment="1">
      <alignment horizontal="center" vertical="center"/>
    </xf>
    <xf numFmtId="0" fontId="0" fillId="0" borderId="25" xfId="0" applyBorder="1" applyAlignment="1">
      <alignment horizontal="center" vertical="center"/>
    </xf>
    <xf numFmtId="0" fontId="50" fillId="14" borderId="0" xfId="0" applyFont="1" applyFill="1" applyBorder="1" applyAlignment="1" applyProtection="1">
      <alignment vertical="center"/>
    </xf>
    <xf numFmtId="0" fontId="53" fillId="8" borderId="13" xfId="4" applyFont="1" applyFill="1" applyBorder="1" applyAlignment="1">
      <alignment horizontal="center" vertical="center"/>
    </xf>
    <xf numFmtId="0" fontId="0" fillId="8" borderId="14" xfId="0" applyFill="1" applyBorder="1" applyAlignment="1">
      <alignment horizontal="center" vertical="center"/>
    </xf>
    <xf numFmtId="0" fontId="0" fillId="8" borderId="15" xfId="0" applyFill="1" applyBorder="1" applyAlignment="1">
      <alignment horizontal="center" vertical="center"/>
    </xf>
    <xf numFmtId="0" fontId="38" fillId="6" borderId="6" xfId="4" applyFont="1" applyFill="1" applyBorder="1" applyAlignment="1">
      <alignment horizontal="center" vertical="center"/>
    </xf>
    <xf numFmtId="0" fontId="56" fillId="7" borderId="2" xfId="0" applyFont="1" applyFill="1" applyBorder="1" applyAlignment="1" applyProtection="1">
      <alignment horizontal="left"/>
      <protection locked="0"/>
    </xf>
    <xf numFmtId="0" fontId="19" fillId="7" borderId="13" xfId="3" applyFont="1" applyFill="1" applyBorder="1" applyAlignment="1" applyProtection="1">
      <alignment vertical="center" wrapText="1"/>
    </xf>
    <xf numFmtId="0" fontId="13" fillId="7" borderId="14" xfId="0" applyFont="1" applyFill="1" applyBorder="1" applyAlignment="1">
      <alignment vertical="center" wrapText="1"/>
    </xf>
    <xf numFmtId="0" fontId="13" fillId="0" borderId="14" xfId="0" applyFont="1" applyBorder="1" applyAlignment="1"/>
    <xf numFmtId="0" fontId="13" fillId="0" borderId="15" xfId="0" applyFont="1" applyBorder="1" applyAlignment="1"/>
    <xf numFmtId="0" fontId="20" fillId="8" borderId="19" xfId="1" applyFont="1" applyFill="1" applyBorder="1" applyAlignment="1">
      <alignment horizontal="center" vertical="center"/>
    </xf>
    <xf numFmtId="0" fontId="13" fillId="0" borderId="0" xfId="0" applyFont="1" applyAlignment="1">
      <alignment vertical="center"/>
    </xf>
    <xf numFmtId="0" fontId="18" fillId="9" borderId="2" xfId="1" applyFont="1" applyFill="1" applyBorder="1" applyAlignment="1" applyProtection="1">
      <alignment horizontal="left" vertical="center"/>
      <protection locked="0"/>
    </xf>
    <xf numFmtId="0" fontId="13" fillId="0" borderId="2" xfId="0" applyFont="1" applyBorder="1" applyAlignment="1" applyProtection="1">
      <alignment horizontal="left" vertical="center"/>
      <protection locked="0"/>
    </xf>
    <xf numFmtId="0" fontId="20" fillId="8" borderId="2" xfId="1" applyFont="1" applyFill="1" applyBorder="1" applyAlignment="1">
      <alignment horizontal="center" vertical="center"/>
    </xf>
    <xf numFmtId="0" fontId="13" fillId="0" borderId="2" xfId="0" applyFont="1" applyBorder="1" applyAlignment="1">
      <alignment vertical="center"/>
    </xf>
    <xf numFmtId="0" fontId="13" fillId="0" borderId="2" xfId="0" applyFont="1" applyBorder="1" applyAlignment="1" applyProtection="1">
      <alignment vertical="center"/>
      <protection locked="0"/>
    </xf>
    <xf numFmtId="0" fontId="20" fillId="8" borderId="20" xfId="1" applyFont="1" applyFill="1" applyBorder="1" applyAlignment="1" applyProtection="1">
      <alignment horizontal="center" vertical="center"/>
    </xf>
    <xf numFmtId="0" fontId="0" fillId="0" borderId="18" xfId="0" applyBorder="1" applyAlignment="1" applyProtection="1">
      <alignment horizontal="center" vertical="center"/>
    </xf>
    <xf numFmtId="0" fontId="39" fillId="2" borderId="19" xfId="1" applyFont="1" applyFill="1" applyBorder="1" applyAlignment="1">
      <alignment vertical="center"/>
    </xf>
    <xf numFmtId="0" fontId="0" fillId="0" borderId="31" xfId="0" applyBorder="1" applyAlignment="1">
      <alignment vertical="center"/>
    </xf>
    <xf numFmtId="0" fontId="39" fillId="8" borderId="2" xfId="1" applyFont="1" applyFill="1" applyBorder="1" applyAlignment="1">
      <alignment horizontal="center" vertical="center"/>
    </xf>
    <xf numFmtId="0" fontId="13" fillId="9" borderId="2" xfId="0" applyFont="1" applyFill="1" applyBorder="1" applyAlignment="1" applyProtection="1">
      <alignment horizontal="center" vertical="center"/>
      <protection locked="0"/>
    </xf>
    <xf numFmtId="0" fontId="13" fillId="9" borderId="2" xfId="0" applyFont="1" applyFill="1" applyBorder="1" applyAlignment="1" applyProtection="1">
      <alignment vertical="center"/>
      <protection locked="0"/>
    </xf>
    <xf numFmtId="0" fontId="23" fillId="9" borderId="2" xfId="0" applyFont="1" applyFill="1" applyBorder="1" applyAlignment="1" applyProtection="1">
      <alignment vertical="center"/>
      <protection locked="0"/>
    </xf>
    <xf numFmtId="0" fontId="13" fillId="0" borderId="2" xfId="0" applyFont="1" applyBorder="1" applyAlignment="1">
      <alignment horizontal="center" vertical="center"/>
    </xf>
    <xf numFmtId="0" fontId="20" fillId="8" borderId="20" xfId="1" applyFont="1" applyFill="1" applyBorder="1" applyAlignment="1">
      <alignment horizontal="center" vertical="center"/>
    </xf>
    <xf numFmtId="0" fontId="0" fillId="0" borderId="18" xfId="0" applyBorder="1" applyAlignment="1">
      <alignment horizontal="center" vertical="center"/>
    </xf>
    <xf numFmtId="0" fontId="18" fillId="9" borderId="20" xfId="1" applyFont="1" applyFill="1" applyBorder="1" applyAlignment="1" applyProtection="1">
      <alignment vertical="center"/>
      <protection locked="0"/>
    </xf>
    <xf numFmtId="0" fontId="0" fillId="9" borderId="18" xfId="0" applyFill="1" applyBorder="1" applyAlignment="1" applyProtection="1">
      <alignment vertical="center"/>
      <protection locked="0"/>
    </xf>
    <xf numFmtId="0" fontId="51" fillId="0" borderId="0" xfId="1" applyFont="1" applyFill="1" applyBorder="1" applyAlignment="1">
      <alignment horizontal="left" vertical="center" wrapText="1"/>
    </xf>
    <xf numFmtId="0" fontId="52" fillId="0" borderId="0" xfId="0" applyFont="1" applyAlignment="1">
      <alignment horizontal="left" vertical="center" wrapText="1"/>
    </xf>
  </cellXfs>
  <cellStyles count="47">
    <cellStyle name="60% - Accent1 2" xfId="6" xr:uid="{00000000-0005-0000-0000-000000000000}"/>
    <cellStyle name="Accent1 2" xfId="8" xr:uid="{00000000-0005-0000-0000-000001000000}"/>
    <cellStyle name="Comma 2" xfId="2" xr:uid="{00000000-0005-0000-0000-000002000000}"/>
    <cellStyle name="Followed Hyperlink" xfId="9" builtinId="9" hidden="1"/>
    <cellStyle name="Followed Hyperlink" xfId="10" builtinId="9" hidden="1"/>
    <cellStyle name="Followed Hyperlink" xfId="11" builtinId="9" hidden="1"/>
    <cellStyle name="Followed Hyperlink" xfId="12" builtinId="9" hidden="1"/>
    <cellStyle name="Followed Hyperlink" xfId="13" builtinId="9" hidden="1"/>
    <cellStyle name="Followed Hyperlink" xfId="14" builtinId="9" hidden="1"/>
    <cellStyle name="Followed Hyperlink" xfId="15" builtinId="9" hidden="1"/>
    <cellStyle name="Followed Hyperlink" xfId="16" builtinId="9" hidden="1"/>
    <cellStyle name="Followed Hyperlink" xfId="17" builtinId="9" hidden="1"/>
    <cellStyle name="Followed Hyperlink" xfId="18" builtinId="9" hidden="1"/>
    <cellStyle name="Followed Hyperlink" xfId="19" builtinId="9" hidden="1"/>
    <cellStyle name="Followed Hyperlink" xfId="20" builtinId="9" hidden="1"/>
    <cellStyle name="Followed Hyperlink" xfId="21" builtinId="9" hidden="1"/>
    <cellStyle name="Followed Hyperlink" xfId="22" builtinId="9" hidden="1"/>
    <cellStyle name="Followed Hyperlink" xfId="23" builtinId="9" hidden="1"/>
    <cellStyle name="Followed Hyperlink" xfId="24" builtinId="9" hidden="1"/>
    <cellStyle name="Followed Hyperlink" xfId="25" builtinId="9" hidden="1"/>
    <cellStyle name="Followed Hyperlink" xfId="26" builtinId="9" hidden="1"/>
    <cellStyle name="Followed Hyperlink" xfId="27" builtinId="9" hidden="1"/>
    <cellStyle name="Followed Hyperlink" xfId="28" builtinId="9" hidden="1"/>
    <cellStyle name="Followed Hyperlink" xfId="29" builtinId="9" hidden="1"/>
    <cellStyle name="Followed Hyperlink" xfId="31" builtinId="9" hidden="1"/>
    <cellStyle name="Followed Hyperlink" xfId="32" builtinId="9" hidden="1"/>
    <cellStyle name="Followed Hyperlink" xfId="33" builtinId="9" hidden="1"/>
    <cellStyle name="Followed Hyperlink" xfId="34" builtinId="9" hidden="1"/>
    <cellStyle name="Followed Hyperlink" xfId="35" builtinId="9" hidden="1"/>
    <cellStyle name="Followed Hyperlink" xfId="36" builtinId="9" hidden="1"/>
    <cellStyle name="Followed Hyperlink" xfId="37" builtinId="9" hidden="1"/>
    <cellStyle name="Followed Hyperlink" xfId="38" builtinId="9" hidden="1"/>
    <cellStyle name="Followed Hyperlink" xfId="39" builtinId="9" hidden="1"/>
    <cellStyle name="Followed Hyperlink" xfId="40" builtinId="9" hidden="1"/>
    <cellStyle name="Followed Hyperlink" xfId="41" builtinId="9" hidden="1"/>
    <cellStyle name="Followed Hyperlink" xfId="42" builtinId="9" hidden="1"/>
    <cellStyle name="Followed Hyperlink" xfId="43" builtinId="9" hidden="1"/>
    <cellStyle name="Followed Hyperlink" xfId="44" builtinId="9" hidden="1"/>
    <cellStyle name="Followed Hyperlink" xfId="45" builtinId="9" hidden="1"/>
    <cellStyle name="Followed Hyperlink" xfId="46" builtinId="9" hidden="1"/>
    <cellStyle name="Hyperlink" xfId="3" builtinId="8"/>
    <cellStyle name="Hyperlink 2" xfId="5" xr:uid="{00000000-0005-0000-0000-000029000000}"/>
    <cellStyle name="Hyperlink 3" xfId="7" xr:uid="{00000000-0005-0000-0000-00002A000000}"/>
    <cellStyle name="Normal" xfId="0" builtinId="0"/>
    <cellStyle name="Normal 2" xfId="1" xr:uid="{00000000-0005-0000-0000-00002C000000}"/>
    <cellStyle name="Normal 3" xfId="4" xr:uid="{00000000-0005-0000-0000-00002D000000}"/>
    <cellStyle name="Normal 3 2" xfId="30" xr:uid="{00000000-0005-0000-0000-00002E000000}"/>
  </cellStyles>
  <dxfs count="120">
    <dxf>
      <alignment horizontal="general" vertical="bottom" textRotation="0" wrapText="1" indent="0" justifyLastLine="0" shrinkToFit="0" readingOrder="0"/>
    </dxf>
    <dxf>
      <numFmt numFmtId="164" formatCode="d\-mmm\-yy"/>
      <alignment horizontal="center" vertical="center" textRotation="0" wrapText="0" indent="0" justifyLastLine="0" shrinkToFit="0" readingOrder="0"/>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9C0006"/>
      </font>
      <fill>
        <patternFill>
          <bgColor theme="5" tint="0.59996337778862885"/>
        </patternFill>
      </fill>
    </dxf>
    <dxf>
      <font>
        <b/>
        <i val="0"/>
        <color rgb="FF9C0006"/>
      </font>
      <fill>
        <patternFill>
          <bgColor theme="5" tint="0.59996337778862885"/>
        </patternFill>
      </fill>
    </dxf>
    <dxf>
      <font>
        <b/>
        <i val="0"/>
        <color rgb="FF9C0006"/>
      </font>
      <fill>
        <patternFill>
          <bgColor theme="5" tint="0.59996337778862885"/>
        </patternFill>
      </fill>
    </dxf>
    <dxf>
      <font>
        <b/>
        <i val="0"/>
        <color rgb="FF9C0006"/>
      </font>
      <fill>
        <patternFill>
          <bgColor theme="5" tint="0.59996337778862885"/>
        </patternFill>
      </fill>
    </dxf>
    <dxf>
      <font>
        <b/>
        <i val="0"/>
        <color rgb="FF9C0006"/>
      </font>
      <fill>
        <patternFill>
          <bgColor theme="5" tint="0.59996337778862885"/>
        </patternFill>
      </fill>
    </dxf>
    <dxf>
      <fill>
        <patternFill>
          <bgColor theme="0" tint="-4.9989318521683403E-2"/>
        </patternFill>
      </fill>
    </dxf>
    <dxf>
      <font>
        <b/>
        <i val="0"/>
        <color rgb="FF9C0006"/>
      </font>
      <fill>
        <patternFill>
          <bgColor theme="5" tint="0.59996337778862885"/>
        </patternFill>
      </fill>
    </dxf>
    <dxf>
      <font>
        <b/>
        <i val="0"/>
        <color rgb="FF9C0006"/>
      </font>
      <fill>
        <patternFill>
          <bgColor theme="5" tint="0.59996337778862885"/>
        </patternFill>
      </fill>
    </dxf>
    <dxf>
      <fill>
        <patternFill>
          <bgColor theme="0" tint="-4.9989318521683403E-2"/>
        </patternFill>
      </fill>
    </dxf>
    <dxf>
      <font>
        <color theme="1" tint="0.34998626667073579"/>
      </font>
      <fill>
        <patternFill patternType="lightUp">
          <bgColor theme="1" tint="0.24994659260841701"/>
        </patternFill>
      </fill>
    </dxf>
    <dxf>
      <font>
        <color theme="1" tint="0.34998626667073579"/>
      </font>
      <fill>
        <patternFill patternType="lightUp">
          <bgColor theme="1" tint="0.24994659260841701"/>
        </patternFill>
      </fill>
    </dxf>
    <dxf>
      <font>
        <b/>
        <i val="0"/>
        <color rgb="FF9C0006"/>
      </font>
      <fill>
        <patternFill>
          <bgColor theme="5" tint="0.59996337778862885"/>
        </patternFill>
      </fill>
    </dxf>
    <dxf>
      <font>
        <b/>
        <i val="0"/>
        <color rgb="FF9C0006"/>
      </font>
      <fill>
        <patternFill>
          <bgColor theme="5" tint="0.59996337778862885"/>
        </patternFill>
      </fill>
    </dxf>
    <dxf>
      <font>
        <b/>
        <i val="0"/>
        <color rgb="FF9C0006"/>
      </font>
      <fill>
        <patternFill>
          <bgColor theme="5" tint="0.59996337778862885"/>
        </patternFill>
      </fill>
    </dxf>
    <dxf>
      <font>
        <b/>
        <i val="0"/>
        <color rgb="FF9C0006"/>
      </font>
      <fill>
        <patternFill>
          <bgColor theme="5" tint="0.59996337778862885"/>
        </patternFill>
      </fill>
    </dxf>
    <dxf>
      <font>
        <b/>
        <i val="0"/>
        <color rgb="FF9C0006"/>
      </font>
      <fill>
        <patternFill>
          <bgColor theme="5" tint="0.59996337778862885"/>
        </patternFill>
      </fill>
    </dxf>
    <dxf>
      <font>
        <b/>
        <i val="0"/>
        <color rgb="FF9C0006"/>
      </font>
      <fill>
        <patternFill>
          <bgColor theme="5" tint="0.59996337778862885"/>
        </patternFill>
      </fill>
    </dxf>
    <dxf>
      <font>
        <b/>
        <i val="0"/>
        <color rgb="FF9C0006"/>
      </font>
      <fill>
        <patternFill>
          <bgColor theme="5" tint="0.59996337778862885"/>
        </patternFill>
      </fill>
    </dxf>
    <dxf>
      <font>
        <b/>
        <i val="0"/>
        <color rgb="FF9C0006"/>
      </font>
      <fill>
        <patternFill>
          <bgColor theme="5" tint="0.59996337778862885"/>
        </patternFill>
      </fill>
    </dxf>
    <dxf>
      <font>
        <b/>
        <i val="0"/>
        <color rgb="FF9C0006"/>
      </font>
      <fill>
        <patternFill>
          <bgColor theme="5" tint="0.59996337778862885"/>
        </patternFill>
      </fill>
    </dxf>
    <dxf>
      <font>
        <b/>
        <i val="0"/>
        <color rgb="FF9C0006"/>
      </font>
      <fill>
        <patternFill>
          <bgColor theme="5" tint="0.59996337778862885"/>
        </patternFill>
      </fill>
    </dxf>
    <dxf>
      <font>
        <b/>
        <i val="0"/>
        <color rgb="FF9C0006"/>
      </font>
      <fill>
        <patternFill>
          <bgColor theme="5" tint="0.59996337778862885"/>
        </patternFill>
      </fill>
    </dxf>
    <dxf>
      <fill>
        <patternFill>
          <bgColor theme="0" tint="-4.9989318521683403E-2"/>
        </patternFill>
      </fill>
    </dxf>
    <dxf>
      <fill>
        <patternFill>
          <bgColor theme="0" tint="-4.9989318521683403E-2"/>
        </patternFill>
      </fill>
    </dxf>
    <dxf>
      <fill>
        <patternFill>
          <bgColor theme="0" tint="-4.9989318521683403E-2"/>
        </patternFill>
      </fill>
    </dxf>
    <dxf>
      <font>
        <b/>
        <i val="0"/>
        <color rgb="FF9C0006"/>
      </font>
      <fill>
        <patternFill>
          <bgColor theme="5" tint="0.59996337778862885"/>
        </patternFill>
      </fill>
    </dxf>
    <dxf>
      <font>
        <b/>
        <i val="0"/>
        <color rgb="FF9C0006"/>
      </font>
      <fill>
        <patternFill>
          <bgColor theme="5" tint="0.59996337778862885"/>
        </patternFill>
      </fill>
    </dxf>
    <dxf>
      <fill>
        <patternFill>
          <bgColor theme="0" tint="-4.9989318521683403E-2"/>
        </patternFill>
      </fill>
    </dxf>
    <dxf>
      <font>
        <b/>
        <i val="0"/>
        <color rgb="FF9C0006"/>
      </font>
      <fill>
        <patternFill>
          <bgColor theme="5" tint="0.59996337778862885"/>
        </patternFill>
      </fill>
    </dxf>
    <dxf>
      <font>
        <b/>
        <i val="0"/>
        <color rgb="FF9C0006"/>
      </font>
      <fill>
        <patternFill>
          <bgColor theme="5" tint="0.59996337778862885"/>
        </patternFill>
      </fill>
    </dxf>
    <dxf>
      <fill>
        <patternFill>
          <bgColor theme="0" tint="-4.9989318521683403E-2"/>
        </patternFill>
      </fill>
    </dxf>
    <dxf>
      <font>
        <b/>
        <i val="0"/>
        <color rgb="FF9C0006"/>
      </font>
      <fill>
        <patternFill>
          <bgColor theme="5" tint="0.59996337778862885"/>
        </patternFill>
      </fill>
    </dxf>
    <dxf>
      <font>
        <b/>
        <i val="0"/>
        <color rgb="FF9C0006"/>
      </font>
      <fill>
        <patternFill>
          <bgColor theme="5" tint="0.59996337778862885"/>
        </patternFill>
      </fill>
    </dxf>
    <dxf>
      <font>
        <b/>
        <i val="0"/>
        <color rgb="FF9C0006"/>
      </font>
      <fill>
        <patternFill>
          <bgColor theme="5" tint="0.59996337778862885"/>
        </patternFill>
      </fill>
    </dxf>
    <dxf>
      <font>
        <b/>
        <i val="0"/>
        <color rgb="FF9C0006"/>
      </font>
      <fill>
        <patternFill>
          <bgColor theme="5" tint="0.59996337778862885"/>
        </patternFill>
      </fill>
    </dxf>
    <dxf>
      <font>
        <b/>
        <i val="0"/>
        <color rgb="FFC00000"/>
      </font>
      <fill>
        <patternFill>
          <bgColor theme="5" tint="0.59996337778862885"/>
        </patternFill>
      </fill>
    </dxf>
    <dxf>
      <font>
        <b/>
        <i val="0"/>
        <color rgb="FF9C0006"/>
      </font>
      <fill>
        <patternFill>
          <bgColor theme="5" tint="0.59996337778862885"/>
        </patternFill>
      </fill>
    </dxf>
    <dxf>
      <font>
        <b/>
        <i val="0"/>
        <color rgb="FFC00000"/>
      </font>
      <fill>
        <patternFill>
          <bgColor theme="5" tint="0.59996337778862885"/>
        </patternFill>
      </fill>
    </dxf>
    <dxf>
      <font>
        <b/>
        <i val="0"/>
        <color rgb="FF9C0006"/>
      </font>
      <fill>
        <patternFill>
          <bgColor theme="5" tint="0.59996337778862885"/>
        </patternFill>
      </fill>
    </dxf>
    <dxf>
      <font>
        <b/>
        <i val="0"/>
        <color rgb="FF9C0006"/>
      </font>
      <fill>
        <patternFill>
          <bgColor theme="5" tint="0.59996337778862885"/>
        </patternFill>
      </fill>
    </dxf>
    <dxf>
      <font>
        <b/>
        <i val="0"/>
        <color rgb="FF9C0006"/>
      </font>
      <fill>
        <patternFill>
          <bgColor theme="5" tint="0.59996337778862885"/>
        </patternFill>
      </fill>
    </dxf>
    <dxf>
      <font>
        <b/>
        <i val="0"/>
        <color rgb="FF9C0006"/>
      </font>
      <fill>
        <patternFill>
          <bgColor theme="5" tint="0.59996337778862885"/>
        </patternFill>
      </fill>
    </dxf>
    <dxf>
      <font>
        <b/>
        <i val="0"/>
        <color rgb="FF9C0006"/>
      </font>
      <fill>
        <patternFill>
          <bgColor theme="5" tint="0.59996337778862885"/>
        </patternFill>
      </fill>
    </dxf>
    <dxf>
      <font>
        <b/>
        <i val="0"/>
        <color rgb="FF9C0006"/>
      </font>
      <fill>
        <patternFill>
          <bgColor theme="5" tint="0.59996337778862885"/>
        </patternFill>
      </fill>
    </dxf>
    <dxf>
      <font>
        <b/>
        <i val="0"/>
        <color rgb="FF9C0006"/>
      </font>
      <fill>
        <patternFill>
          <bgColor theme="5" tint="0.59996337778862885"/>
        </patternFill>
      </fill>
    </dxf>
    <dxf>
      <fill>
        <patternFill>
          <bgColor theme="0" tint="-4.9989318521683403E-2"/>
        </patternFill>
      </fill>
    </dxf>
    <dxf>
      <font>
        <b val="0"/>
        <i val="0"/>
        <color theme="1"/>
      </font>
      <fill>
        <patternFill>
          <bgColor rgb="FFFFFFE5"/>
        </patternFill>
      </fill>
    </dxf>
    <dxf>
      <font>
        <b/>
        <i val="0"/>
        <color rgb="FF9C0006"/>
      </font>
      <fill>
        <patternFill>
          <bgColor theme="5" tint="0.59996337778862885"/>
        </patternFill>
      </fill>
    </dxf>
    <dxf>
      <font>
        <b/>
        <i val="0"/>
        <color rgb="FF9C0006"/>
      </font>
      <fill>
        <patternFill>
          <bgColor theme="5" tint="0.59996337778862885"/>
        </patternFill>
      </fill>
    </dxf>
    <dxf>
      <font>
        <b/>
        <i val="0"/>
        <color rgb="FFC00000"/>
      </font>
      <fill>
        <patternFill>
          <bgColor theme="5" tint="0.59996337778862885"/>
        </patternFill>
      </fill>
    </dxf>
    <dxf>
      <font>
        <b/>
        <i val="0"/>
        <color rgb="FF9C0006"/>
      </font>
      <fill>
        <patternFill>
          <bgColor theme="5" tint="0.59996337778862885"/>
        </patternFill>
      </fill>
    </dxf>
    <dxf>
      <font>
        <b/>
        <i val="0"/>
        <color rgb="FF9C0006"/>
      </font>
      <fill>
        <patternFill>
          <bgColor theme="5" tint="0.59996337778862885"/>
        </patternFill>
      </fill>
    </dxf>
    <dxf>
      <font>
        <b/>
        <i val="0"/>
        <color rgb="FF9C0006"/>
      </font>
      <fill>
        <patternFill>
          <bgColor theme="5" tint="0.59996337778862885"/>
        </patternFill>
      </fill>
    </dxf>
    <dxf>
      <font>
        <b/>
        <i val="0"/>
        <color rgb="FF9C0006"/>
      </font>
      <fill>
        <patternFill>
          <bgColor theme="5" tint="0.59996337778862885"/>
        </patternFill>
      </fill>
    </dxf>
    <dxf>
      <font>
        <b/>
        <i val="0"/>
        <color rgb="FF9C0006"/>
      </font>
      <fill>
        <patternFill>
          <bgColor theme="5" tint="0.59996337778862885"/>
        </patternFill>
      </fill>
    </dxf>
    <dxf>
      <font>
        <b/>
        <i val="0"/>
        <color rgb="FF9C0006"/>
      </font>
      <fill>
        <patternFill>
          <bgColor theme="5" tint="0.59996337778862885"/>
        </patternFill>
      </fill>
    </dxf>
    <dxf>
      <font>
        <b/>
        <i val="0"/>
        <color rgb="FF9C0006"/>
      </font>
      <fill>
        <patternFill>
          <bgColor theme="5" tint="0.59996337778862885"/>
        </patternFill>
      </fill>
    </dxf>
    <dxf>
      <font>
        <b/>
        <i val="0"/>
        <color rgb="FF9C0006"/>
      </font>
      <fill>
        <patternFill>
          <bgColor theme="5" tint="0.59996337778862885"/>
        </patternFill>
      </fill>
    </dxf>
    <dxf>
      <font>
        <b/>
        <i val="0"/>
        <color rgb="FF9C0006"/>
      </font>
      <fill>
        <patternFill>
          <bgColor theme="5" tint="0.59996337778862885"/>
        </patternFill>
      </fill>
    </dxf>
    <dxf>
      <font>
        <b val="0"/>
        <i val="0"/>
        <color theme="1"/>
      </font>
      <fill>
        <patternFill>
          <bgColor rgb="FFFFFFE5"/>
        </patternFill>
      </fill>
    </dxf>
    <dxf>
      <font>
        <b/>
        <i val="0"/>
        <color rgb="FF9C0006"/>
      </font>
      <fill>
        <patternFill>
          <bgColor theme="5" tint="0.59996337778862885"/>
        </patternFill>
      </fill>
    </dxf>
    <dxf>
      <font>
        <b/>
        <i val="0"/>
        <color rgb="FF9C0006"/>
      </font>
      <fill>
        <patternFill>
          <bgColor theme="5" tint="0.59996337778862885"/>
        </patternFill>
      </fill>
    </dxf>
    <dxf>
      <fill>
        <patternFill>
          <bgColor theme="0" tint="-4.9989318521683403E-2"/>
        </patternFill>
      </fill>
    </dxf>
    <dxf>
      <fill>
        <patternFill>
          <bgColor theme="0" tint="-4.9989318521683403E-2"/>
        </patternFill>
      </fill>
    </dxf>
    <dxf>
      <fill>
        <patternFill>
          <bgColor theme="0" tint="-4.9989318521683403E-2"/>
        </patternFill>
      </fill>
    </dxf>
    <dxf>
      <font>
        <b/>
        <i val="0"/>
        <color rgb="FF9C0006"/>
      </font>
      <fill>
        <patternFill>
          <bgColor theme="5" tint="0.59996337778862885"/>
        </patternFill>
      </fill>
    </dxf>
    <dxf>
      <font>
        <b/>
        <i val="0"/>
        <color rgb="FF9C0006"/>
      </font>
      <fill>
        <patternFill>
          <bgColor theme="5" tint="0.59996337778862885"/>
        </patternFill>
      </fill>
    </dxf>
    <dxf>
      <font>
        <color theme="1" tint="0.34998626667073579"/>
      </font>
      <fill>
        <patternFill patternType="lightUp">
          <bgColor theme="1" tint="0.24994659260841701"/>
        </patternFill>
      </fill>
    </dxf>
    <dxf>
      <font>
        <color theme="1" tint="0.34998626667073579"/>
      </font>
      <fill>
        <patternFill patternType="lightUp">
          <fgColor auto="1"/>
          <bgColor theme="1" tint="0.24994659260841701"/>
        </patternFill>
      </fill>
    </dxf>
    <dxf>
      <font>
        <color theme="1" tint="0.34998626667073579"/>
      </font>
      <fill>
        <patternFill patternType="lightDown">
          <fgColor auto="1"/>
          <bgColor theme="1" tint="0.24994659260841701"/>
        </patternFill>
      </fill>
    </dxf>
    <dxf>
      <font>
        <b/>
        <i val="0"/>
        <color rgb="FF9C0006"/>
      </font>
      <fill>
        <patternFill>
          <bgColor theme="5" tint="0.59996337778862885"/>
        </patternFill>
      </fill>
    </dxf>
    <dxf>
      <font>
        <color theme="1" tint="0.34998626667073579"/>
      </font>
      <fill>
        <patternFill patternType="lightDown">
          <fgColor auto="1"/>
          <bgColor theme="1" tint="0.24994659260841701"/>
        </patternFill>
      </fill>
    </dxf>
    <dxf>
      <font>
        <b/>
        <i val="0"/>
        <color rgb="FF9C0006"/>
      </font>
      <fill>
        <patternFill>
          <bgColor theme="5" tint="0.59996337778862885"/>
        </patternFill>
      </fill>
    </dxf>
    <dxf>
      <font>
        <color theme="1" tint="0.34998626667073579"/>
      </font>
      <fill>
        <patternFill patternType="lightDown">
          <fgColor auto="1"/>
          <bgColor theme="1" tint="0.24994659260841701"/>
        </patternFill>
      </fill>
    </dxf>
    <dxf>
      <font>
        <color theme="1" tint="0.34998626667073579"/>
      </font>
      <fill>
        <patternFill patternType="lightDown">
          <fgColor auto="1"/>
          <bgColor theme="1" tint="0.24994659260841701"/>
        </patternFill>
      </fill>
    </dxf>
    <dxf>
      <font>
        <color theme="1" tint="0.34998626667073579"/>
      </font>
      <fill>
        <patternFill patternType="lightDown">
          <fgColor auto="1"/>
          <bgColor theme="1" tint="0.24994659260841701"/>
        </patternFill>
      </fill>
    </dxf>
    <dxf>
      <font>
        <b/>
        <i val="0"/>
        <color rgb="FF9C0006"/>
      </font>
      <fill>
        <patternFill>
          <bgColor theme="5" tint="0.59996337778862885"/>
        </patternFill>
      </fill>
    </dxf>
    <dxf>
      <font>
        <color theme="1" tint="0.34998626667073579"/>
      </font>
      <fill>
        <patternFill patternType="lightDown">
          <fgColor auto="1"/>
          <bgColor theme="1" tint="0.24994659260841701"/>
        </patternFill>
      </fill>
    </dxf>
    <dxf>
      <font>
        <b/>
        <i val="0"/>
        <color rgb="FF9C0006"/>
      </font>
      <fill>
        <patternFill>
          <bgColor theme="5" tint="0.59996337778862885"/>
        </patternFill>
      </fill>
    </dxf>
    <dxf>
      <font>
        <b/>
        <i val="0"/>
        <color rgb="FF9C0006"/>
      </font>
      <fill>
        <patternFill>
          <bgColor theme="5" tint="0.59996337778862885"/>
        </patternFill>
      </fill>
    </dxf>
    <dxf>
      <font>
        <b/>
        <i val="0"/>
        <color rgb="FF9C0006"/>
      </font>
      <fill>
        <patternFill>
          <bgColor theme="5" tint="0.59996337778862885"/>
        </patternFill>
      </fill>
    </dxf>
    <dxf>
      <font>
        <b val="0"/>
        <i val="0"/>
        <color theme="1" tint="0.34998626667073579"/>
      </font>
      <fill>
        <patternFill patternType="lightUp">
          <bgColor theme="1" tint="0.24994659260841701"/>
        </patternFill>
      </fill>
    </dxf>
    <dxf>
      <font>
        <b/>
        <i val="0"/>
        <color rgb="FF9C0006"/>
      </font>
      <fill>
        <patternFill>
          <bgColor theme="5" tint="0.59996337778862885"/>
        </patternFill>
      </fill>
    </dxf>
    <dxf>
      <font>
        <b/>
        <i val="0"/>
        <color rgb="FF9C0006"/>
      </font>
      <fill>
        <patternFill>
          <bgColor theme="5" tint="0.59996337778862885"/>
        </patternFill>
      </fill>
    </dxf>
    <dxf>
      <font>
        <b/>
        <i val="0"/>
        <color rgb="FF9C0006"/>
      </font>
      <fill>
        <patternFill>
          <bgColor theme="5" tint="0.59996337778862885"/>
        </patternFill>
      </fill>
    </dxf>
    <dxf>
      <font>
        <b/>
        <i val="0"/>
        <color rgb="FF9C0006"/>
      </font>
      <fill>
        <patternFill>
          <bgColor theme="5" tint="0.59996337778862885"/>
        </patternFill>
      </fill>
    </dxf>
    <dxf>
      <font>
        <b/>
        <i val="0"/>
        <color rgb="FF9C0006"/>
      </font>
      <fill>
        <patternFill>
          <bgColor theme="5" tint="0.59996337778862885"/>
        </patternFill>
      </fill>
    </dxf>
    <dxf>
      <font>
        <b/>
        <i val="0"/>
        <color rgb="FF9C0006"/>
      </font>
      <fill>
        <patternFill>
          <bgColor theme="5" tint="0.59996337778862885"/>
        </patternFill>
      </fill>
    </dxf>
    <dxf>
      <font>
        <b/>
        <i val="0"/>
        <color rgb="FF9C0006"/>
      </font>
      <fill>
        <patternFill>
          <bgColor theme="5" tint="0.59996337778862885"/>
        </patternFill>
      </fill>
    </dxf>
    <dxf>
      <font>
        <b/>
        <i val="0"/>
        <color rgb="FF9C0006"/>
      </font>
      <fill>
        <patternFill>
          <bgColor theme="5" tint="0.59996337778862885"/>
        </patternFill>
      </fill>
    </dxf>
    <dxf>
      <font>
        <b/>
        <i val="0"/>
        <color rgb="FF9C0006"/>
      </font>
      <fill>
        <patternFill>
          <bgColor theme="5" tint="0.59996337778862885"/>
        </patternFill>
      </fill>
    </dxf>
    <dxf>
      <font>
        <b/>
        <i val="0"/>
        <color rgb="FF9C0006"/>
      </font>
      <fill>
        <patternFill>
          <bgColor theme="5" tint="0.59996337778862885"/>
        </patternFill>
      </fill>
    </dxf>
    <dxf>
      <font>
        <b/>
        <i val="0"/>
        <color rgb="FF9C0006"/>
      </font>
      <fill>
        <patternFill>
          <bgColor theme="5" tint="0.59996337778862885"/>
        </patternFill>
      </fill>
    </dxf>
    <dxf>
      <font>
        <b/>
        <i val="0"/>
        <color rgb="FF9C0006"/>
      </font>
      <fill>
        <patternFill>
          <bgColor theme="5" tint="0.59996337778862885"/>
        </patternFill>
      </fill>
    </dxf>
    <dxf>
      <font>
        <b/>
        <i val="0"/>
        <color rgb="FF9C0006"/>
      </font>
      <fill>
        <patternFill>
          <bgColor theme="5" tint="0.59996337778862885"/>
        </patternFill>
      </fill>
    </dxf>
    <dxf>
      <font>
        <b/>
        <i val="0"/>
        <color rgb="FF9C0006"/>
      </font>
      <fill>
        <patternFill>
          <bgColor theme="5" tint="0.59996337778862885"/>
        </patternFill>
      </fill>
    </dxf>
    <dxf>
      <font>
        <b/>
        <i val="0"/>
        <color rgb="FF9C0006"/>
      </font>
      <fill>
        <patternFill>
          <bgColor theme="5" tint="0.59996337778862885"/>
        </patternFill>
      </fill>
    </dxf>
    <dxf>
      <font>
        <b/>
        <i val="0"/>
        <color rgb="FF9C0006"/>
      </font>
      <fill>
        <patternFill>
          <bgColor theme="5" tint="0.59996337778862885"/>
        </patternFill>
      </fill>
    </dxf>
    <dxf>
      <font>
        <b/>
        <i val="0"/>
        <color rgb="FF9C0006"/>
      </font>
      <fill>
        <patternFill>
          <bgColor theme="5" tint="0.59996337778862885"/>
        </patternFill>
      </fill>
    </dxf>
    <dxf>
      <font>
        <b/>
        <i val="0"/>
        <color rgb="FF9C0006"/>
      </font>
      <fill>
        <patternFill>
          <bgColor theme="5" tint="0.59996337778862885"/>
        </patternFill>
      </fill>
    </dxf>
    <dxf>
      <font>
        <b/>
        <i val="0"/>
        <color rgb="FF9C0006"/>
      </font>
      <fill>
        <patternFill>
          <bgColor theme="5" tint="0.59996337778862885"/>
        </patternFill>
      </fill>
    </dxf>
    <dxf>
      <font>
        <color rgb="FF9C0006"/>
      </font>
      <fill>
        <patternFill>
          <bgColor theme="5" tint="0.59996337778862885"/>
        </patternFill>
      </fill>
    </dxf>
    <dxf>
      <font>
        <b/>
        <i val="0"/>
        <color rgb="FFC00000"/>
      </font>
      <fill>
        <patternFill>
          <bgColor theme="5" tint="0.59996337778862885"/>
        </patternFill>
      </fill>
    </dxf>
    <dxf>
      <font>
        <b/>
        <i val="0"/>
        <color rgb="FF9C0006"/>
      </font>
      <fill>
        <patternFill>
          <bgColor theme="5" tint="0.59996337778862885"/>
        </patternFill>
      </fill>
    </dxf>
    <dxf>
      <font>
        <b/>
        <i val="0"/>
        <color rgb="FFC00000"/>
      </font>
      <fill>
        <patternFill>
          <bgColor theme="5" tint="0.59996337778862885"/>
        </patternFill>
      </fill>
    </dxf>
    <dxf>
      <font>
        <b/>
        <i val="0"/>
        <color rgb="FFC00000"/>
      </font>
      <fill>
        <patternFill>
          <bgColor theme="5" tint="0.59996337778862885"/>
        </patternFill>
      </fill>
    </dxf>
    <dxf>
      <font>
        <b/>
        <i val="0"/>
        <color rgb="FFC00000"/>
      </font>
      <fill>
        <patternFill>
          <bgColor theme="5" tint="0.59996337778862885"/>
        </patternFill>
      </fill>
    </dxf>
    <dxf>
      <font>
        <b/>
        <i val="0"/>
        <color rgb="FFC00000"/>
      </font>
      <fill>
        <patternFill>
          <bgColor theme="5" tint="0.59996337778862885"/>
        </patternFill>
      </fill>
    </dxf>
    <dxf>
      <font>
        <b/>
        <i val="0"/>
        <color rgb="FFC00000"/>
      </font>
      <fill>
        <patternFill>
          <bgColor theme="5" tint="0.59996337778862885"/>
        </patternFill>
      </fill>
    </dxf>
    <dxf>
      <font>
        <b/>
        <i val="0"/>
        <color rgb="FFC00000"/>
      </font>
      <fill>
        <patternFill>
          <bgColor theme="5" tint="0.59996337778862885"/>
        </patternFill>
      </fill>
    </dxf>
  </dxfs>
  <tableStyles count="0" defaultTableStyle="TableStyleMedium2" defaultPivotStyle="PivotStyleLight16"/>
  <colors>
    <mruColors>
      <color rgb="FF9C0006"/>
      <color rgb="FFFFFFE5"/>
      <color rgb="FFFFFFCC"/>
      <color rgb="FF0000D4"/>
      <color rgb="FF004AFF"/>
      <color rgb="FF043DFF"/>
      <color rgb="FFFF6600"/>
      <color rgb="FFFFCCFF"/>
      <color rgb="FF00FFCC"/>
      <color rgb="FFFEB8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19538</xdr:colOff>
      <xdr:row>0</xdr:row>
      <xdr:rowOff>19539</xdr:rowOff>
    </xdr:from>
    <xdr:to>
      <xdr:col>6</xdr:col>
      <xdr:colOff>1</xdr:colOff>
      <xdr:row>1</xdr:row>
      <xdr:rowOff>13922</xdr:rowOff>
    </xdr:to>
    <xdr:pic>
      <xdr:nvPicPr>
        <xdr:cNvPr id="2" name="Picture 4">
          <a:extLst>
            <a:ext uri="{FF2B5EF4-FFF2-40B4-BE49-F238E27FC236}">
              <a16:creationId xmlns:a16="http://schemas.microsoft.com/office/drawing/2014/main" id="{0D01CD8E-6F8A-1646-88BF-19ECCC7F18B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38" y="19539"/>
          <a:ext cx="14801363" cy="6039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1640336</xdr:colOff>
      <xdr:row>0</xdr:row>
      <xdr:rowOff>142504</xdr:rowOff>
    </xdr:from>
    <xdr:to>
      <xdr:col>3</xdr:col>
      <xdr:colOff>3054152</xdr:colOff>
      <xdr:row>0</xdr:row>
      <xdr:rowOff>459265</xdr:rowOff>
    </xdr:to>
    <xdr:pic>
      <xdr:nvPicPr>
        <xdr:cNvPr id="3" name="Picture 2">
          <a:extLst>
            <a:ext uri="{FF2B5EF4-FFF2-40B4-BE49-F238E27FC236}">
              <a16:creationId xmlns:a16="http://schemas.microsoft.com/office/drawing/2014/main" id="{179E2540-4E41-324F-B378-15A9F64B6D30}"/>
            </a:ext>
          </a:extLst>
        </xdr:cNvPr>
        <xdr:cNvPicPr>
          <a:picLocks noChangeAspect="1"/>
        </xdr:cNvPicPr>
      </xdr:nvPicPr>
      <xdr:blipFill>
        <a:blip xmlns:r="http://schemas.openxmlformats.org/officeDocument/2006/relationships" r:embed="rId2"/>
        <a:stretch>
          <a:fillRect/>
        </a:stretch>
      </xdr:blipFill>
      <xdr:spPr>
        <a:xfrm>
          <a:off x="11762236" y="142504"/>
          <a:ext cx="1413816" cy="316761"/>
        </a:xfrm>
        <a:prstGeom prst="rect">
          <a:avLst/>
        </a:prstGeom>
      </xdr:spPr>
    </xdr:pic>
    <xdr:clientData/>
  </xdr:twoCellAnchor>
  <xdr:oneCellAnchor>
    <xdr:from>
      <xdr:col>1</xdr:col>
      <xdr:colOff>57150</xdr:colOff>
      <xdr:row>0</xdr:row>
      <xdr:rowOff>94662</xdr:rowOff>
    </xdr:from>
    <xdr:ext cx="11626850" cy="451406"/>
    <xdr:sp macro="" textlink="">
      <xdr:nvSpPr>
        <xdr:cNvPr id="4" name="TextBox 3">
          <a:extLst>
            <a:ext uri="{FF2B5EF4-FFF2-40B4-BE49-F238E27FC236}">
              <a16:creationId xmlns:a16="http://schemas.microsoft.com/office/drawing/2014/main" id="{854224C0-4CD8-F442-B435-EA7A54239B8F}"/>
            </a:ext>
          </a:extLst>
        </xdr:cNvPr>
        <xdr:cNvSpPr txBox="1"/>
      </xdr:nvSpPr>
      <xdr:spPr>
        <a:xfrm>
          <a:off x="146050" y="94662"/>
          <a:ext cx="11626850" cy="45140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2800">
              <a:solidFill>
                <a:srgbClr val="FFFFFF"/>
              </a:solidFill>
              <a:latin typeface="Metropolis" pitchFamily="2" charset="77"/>
            </a:rPr>
            <a:t>VMware Cloud Foundation on Dell EMC VxRail</a:t>
          </a:r>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9525</xdr:rowOff>
    </xdr:from>
    <xdr:to>
      <xdr:col>3</xdr:col>
      <xdr:colOff>9971851</xdr:colOff>
      <xdr:row>1</xdr:row>
      <xdr:rowOff>1622</xdr:rowOff>
    </xdr:to>
    <xdr:pic>
      <xdr:nvPicPr>
        <xdr:cNvPr id="2" name="Picture 4">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525"/>
          <a:ext cx="14459184" cy="6035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0</xdr:col>
      <xdr:colOff>57620</xdr:colOff>
      <xdr:row>0</xdr:row>
      <xdr:rowOff>94427</xdr:rowOff>
    </xdr:from>
    <xdr:ext cx="2112181" cy="451406"/>
    <xdr:sp macro="" textlink="">
      <xdr:nvSpPr>
        <xdr:cNvPr id="4" name="TextBox 3">
          <a:extLst>
            <a:ext uri="{FF2B5EF4-FFF2-40B4-BE49-F238E27FC236}">
              <a16:creationId xmlns:a16="http://schemas.microsoft.com/office/drawing/2014/main" id="{00000000-0008-0000-0200-000004000000}"/>
            </a:ext>
          </a:extLst>
        </xdr:cNvPr>
        <xdr:cNvSpPr txBox="1"/>
      </xdr:nvSpPr>
      <xdr:spPr>
        <a:xfrm>
          <a:off x="57620" y="94427"/>
          <a:ext cx="2112181" cy="45140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2800">
              <a:solidFill>
                <a:srgbClr val="FFFFFF"/>
              </a:solidFill>
              <a:latin typeface="Metropolis" pitchFamily="2" charset="77"/>
            </a:rPr>
            <a:t>Credentials</a:t>
          </a:r>
        </a:p>
      </xdr:txBody>
    </xdr:sp>
    <xdr:clientData/>
  </xdr:oneCellAnchor>
  <xdr:twoCellAnchor editAs="oneCell">
    <xdr:from>
      <xdr:col>3</xdr:col>
      <xdr:colOff>7290273</xdr:colOff>
      <xdr:row>0</xdr:row>
      <xdr:rowOff>141934</xdr:rowOff>
    </xdr:from>
    <xdr:to>
      <xdr:col>3</xdr:col>
      <xdr:colOff>8786519</xdr:colOff>
      <xdr:row>0</xdr:row>
      <xdr:rowOff>458695</xdr:rowOff>
    </xdr:to>
    <xdr:pic>
      <xdr:nvPicPr>
        <xdr:cNvPr id="5" name="Picture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2"/>
        <a:stretch>
          <a:fillRect/>
        </a:stretch>
      </xdr:blipFill>
      <xdr:spPr>
        <a:xfrm>
          <a:off x="11410717" y="141934"/>
          <a:ext cx="1496246" cy="31676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5423</xdr:rowOff>
    </xdr:from>
    <xdr:to>
      <xdr:col>12</xdr:col>
      <xdr:colOff>0</xdr:colOff>
      <xdr:row>1</xdr:row>
      <xdr:rowOff>1214</xdr:rowOff>
    </xdr:to>
    <xdr:pic>
      <xdr:nvPicPr>
        <xdr:cNvPr id="2" name="Picture 4">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423"/>
          <a:ext cx="15777308" cy="6014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0</xdr:col>
      <xdr:colOff>126023</xdr:colOff>
      <xdr:row>0</xdr:row>
      <xdr:rowOff>67408</xdr:rowOff>
    </xdr:from>
    <xdr:ext cx="3674660" cy="451406"/>
    <xdr:sp macro="" textlink="">
      <xdr:nvSpPr>
        <xdr:cNvPr id="3" name="TextBox 2">
          <a:extLst>
            <a:ext uri="{FF2B5EF4-FFF2-40B4-BE49-F238E27FC236}">
              <a16:creationId xmlns:a16="http://schemas.microsoft.com/office/drawing/2014/main" id="{00000000-0008-0000-0300-000003000000}"/>
            </a:ext>
          </a:extLst>
        </xdr:cNvPr>
        <xdr:cNvSpPr txBox="1"/>
      </xdr:nvSpPr>
      <xdr:spPr>
        <a:xfrm>
          <a:off x="126023" y="67408"/>
          <a:ext cx="3674660" cy="45140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2800">
              <a:solidFill>
                <a:srgbClr val="FFFFFF"/>
              </a:solidFill>
              <a:latin typeface="Metropolis" pitchFamily="2" charset="77"/>
            </a:rPr>
            <a:t>Hosts and Networks</a:t>
          </a:r>
        </a:p>
      </xdr:txBody>
    </xdr:sp>
    <xdr:clientData/>
  </xdr:oneCellAnchor>
  <xdr:twoCellAnchor editAs="oneCell">
    <xdr:from>
      <xdr:col>10</xdr:col>
      <xdr:colOff>1120396</xdr:colOff>
      <xdr:row>0</xdr:row>
      <xdr:rowOff>149225</xdr:rowOff>
    </xdr:from>
    <xdr:to>
      <xdr:col>11</xdr:col>
      <xdr:colOff>772205</xdr:colOff>
      <xdr:row>0</xdr:row>
      <xdr:rowOff>465986</xdr:rowOff>
    </xdr:to>
    <xdr:pic>
      <xdr:nvPicPr>
        <xdr:cNvPr id="4" name="Picture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2"/>
        <a:stretch>
          <a:fillRect/>
        </a:stretch>
      </xdr:blipFill>
      <xdr:spPr>
        <a:xfrm>
          <a:off x="12309096" y="149225"/>
          <a:ext cx="1616075" cy="31676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9525</xdr:rowOff>
    </xdr:from>
    <xdr:to>
      <xdr:col>11</xdr:col>
      <xdr:colOff>19538</xdr:colOff>
      <xdr:row>1</xdr:row>
      <xdr:rowOff>19040</xdr:rowOff>
    </xdr:to>
    <xdr:pic>
      <xdr:nvPicPr>
        <xdr:cNvPr id="3" name="Picture 4">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525"/>
          <a:ext cx="15923846" cy="6152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0</xdr:col>
      <xdr:colOff>57620</xdr:colOff>
      <xdr:row>0</xdr:row>
      <xdr:rowOff>103834</xdr:rowOff>
    </xdr:from>
    <xdr:ext cx="4386265" cy="451406"/>
    <xdr:sp macro="" textlink="">
      <xdr:nvSpPr>
        <xdr:cNvPr id="4" name="TextBox 3">
          <a:extLst>
            <a:ext uri="{FF2B5EF4-FFF2-40B4-BE49-F238E27FC236}">
              <a16:creationId xmlns:a16="http://schemas.microsoft.com/office/drawing/2014/main" id="{00000000-0008-0000-0400-000004000000}"/>
            </a:ext>
          </a:extLst>
        </xdr:cNvPr>
        <xdr:cNvSpPr txBox="1"/>
      </xdr:nvSpPr>
      <xdr:spPr>
        <a:xfrm>
          <a:off x="57620" y="103834"/>
          <a:ext cx="4386265" cy="45140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2800">
              <a:solidFill>
                <a:srgbClr val="FFFFFF"/>
              </a:solidFill>
              <a:latin typeface="Metropolis" pitchFamily="2" charset="77"/>
            </a:rPr>
            <a:t>Deployment</a:t>
          </a:r>
          <a:r>
            <a:rPr lang="en-US" sz="2800" baseline="0">
              <a:solidFill>
                <a:srgbClr val="FFFFFF"/>
              </a:solidFill>
              <a:latin typeface="Metropolis" pitchFamily="2" charset="77"/>
            </a:rPr>
            <a:t> Parameters</a:t>
          </a:r>
          <a:endParaRPr lang="en-US" sz="2800">
            <a:solidFill>
              <a:srgbClr val="FFFFFF"/>
            </a:solidFill>
            <a:latin typeface="Metropolis" pitchFamily="2" charset="77"/>
          </a:endParaRPr>
        </a:p>
      </xdr:txBody>
    </xdr:sp>
    <xdr:clientData/>
  </xdr:oneCellAnchor>
  <xdr:twoCellAnchor editAs="oneCell">
    <xdr:from>
      <xdr:col>8</xdr:col>
      <xdr:colOff>2490611</xdr:colOff>
      <xdr:row>0</xdr:row>
      <xdr:rowOff>168858</xdr:rowOff>
    </xdr:from>
    <xdr:to>
      <xdr:col>9</xdr:col>
      <xdr:colOff>874888</xdr:colOff>
      <xdr:row>0</xdr:row>
      <xdr:rowOff>488898</xdr:rowOff>
    </xdr:to>
    <xdr:pic>
      <xdr:nvPicPr>
        <xdr:cNvPr id="5" name="Picture 4">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2"/>
        <a:stretch>
          <a:fillRect/>
        </a:stretch>
      </xdr:blipFill>
      <xdr:spPr>
        <a:xfrm>
          <a:off x="11982685" y="168858"/>
          <a:ext cx="1535759" cy="32004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vcf-ems-deployment-parameter.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onevmw.sharepoint.com/teams/ISBUBringup/Shared%20Documents/Bringup%20Master%20XLS%20Files/Deployment_Parameters_Propos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duction"/>
      <sheetName val="Credentials"/>
      <sheetName val="Hosts and Networks"/>
      <sheetName val="Deploy Parameters"/>
      <sheetName val="Lookup_Lists"/>
      <sheetName val="Config_File_Build"/>
      <sheetName val="Change Log"/>
    </sheetNames>
    <sheetDataSet>
      <sheetData sheetId="0"/>
      <sheetData sheetId="1"/>
      <sheetData sheetId="2"/>
      <sheetData sheetId="3"/>
      <sheetData sheetId="4"/>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duction"/>
      <sheetName val="Credentials"/>
      <sheetName val="Hosts and Networks"/>
      <sheetName val="Deploy Parameters"/>
      <sheetName val="Lookup_Lists"/>
      <sheetName val="Config_File_Build"/>
      <sheetName val="Change Log"/>
    </sheetNames>
    <sheetDataSet>
      <sheetData sheetId="0"/>
      <sheetData sheetId="1"/>
      <sheetData sheetId="2"/>
      <sheetData sheetId="3"/>
      <sheetData sheetId="4">
        <row r="2">
          <cell r="A2" t="str">
            <v>n/a</v>
          </cell>
        </row>
        <row r="3">
          <cell r="A3" t="str">
            <v>intel-merom</v>
          </cell>
        </row>
        <row r="4">
          <cell r="A4" t="str">
            <v>intel-penryn</v>
          </cell>
        </row>
        <row r="5">
          <cell r="A5" t="str">
            <v>intel-nehalem</v>
          </cell>
        </row>
        <row r="6">
          <cell r="A6" t="str">
            <v>intel-westmere</v>
          </cell>
        </row>
        <row r="7">
          <cell r="A7" t="str">
            <v>intel-sandybridge</v>
          </cell>
        </row>
        <row r="8">
          <cell r="A8" t="str">
            <v>intel-ivybridge</v>
          </cell>
        </row>
        <row r="9">
          <cell r="A9" t="str">
            <v>intel-haswell</v>
          </cell>
        </row>
        <row r="10">
          <cell r="A10" t="str">
            <v>intel-broadwell</v>
          </cell>
        </row>
        <row r="11">
          <cell r="A11" t="str">
            <v>intel-skylake</v>
          </cell>
        </row>
        <row r="12">
          <cell r="A12" t="str">
            <v>intel-cascadelake</v>
          </cell>
        </row>
        <row r="13">
          <cell r="A13" t="str">
            <v>amd-rev-e</v>
          </cell>
        </row>
        <row r="14">
          <cell r="A14" t="str">
            <v>amd-rev-f</v>
          </cell>
        </row>
        <row r="15">
          <cell r="A15" t="str">
            <v>amd-greyhound-no3dnow</v>
          </cell>
        </row>
        <row r="16">
          <cell r="A16" t="str">
            <v>amd-greyhound</v>
          </cell>
        </row>
        <row r="17">
          <cell r="A17" t="str">
            <v>amd-bulldozer</v>
          </cell>
        </row>
        <row r="18">
          <cell r="A18" t="str">
            <v>amd-piledriver</v>
          </cell>
        </row>
        <row r="19">
          <cell r="A19" t="str">
            <v>amd-steamroller</v>
          </cell>
        </row>
        <row r="20">
          <cell r="A20" t="str">
            <v>amd-zen</v>
          </cell>
        </row>
      </sheetData>
      <sheetData sheetId="5"/>
      <sheetData sheetId="6"/>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1000000}" name="Table3" displayName="Table3" ref="A1:B79" totalsRowShown="0">
  <autoFilter ref="A1:B79" xr:uid="{00000000-0009-0000-0100-000003000000}"/>
  <tableColumns count="2">
    <tableColumn id="1" xr3:uid="{00000000-0010-0000-0100-000001000000}" name="Date" dataDxfId="1"/>
    <tableColumn id="2" xr3:uid="{00000000-0010-0000-0100-000002000000}" name="Description" dataDxfId="0"/>
  </tableColumns>
  <tableStyleInfo name="TableStyleMedium8" showFirstColumn="0" showLastColumn="0" showRowStripes="1" showColumnStripes="0"/>
</table>
</file>

<file path=xl/theme/theme1.xml><?xml version="1.0" encoding="utf-8"?>
<a:theme xmlns:a="http://schemas.openxmlformats.org/drawingml/2006/main" name="Office Them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mailto:sso-site-name@value=" TargetMode="External"/><Relationship Id="rId1" Type="http://schemas.openxmlformats.org/officeDocument/2006/relationships/hyperlink" Target="mailto:management-vsan-datastore-name@value=" TargetMode="External"/></Relationships>
</file>

<file path=xl/worksheets/_rels/sheet7.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5696B7-6800-A543-8B5F-8F444F4DBC71}">
  <dimension ref="B1:O571"/>
  <sheetViews>
    <sheetView tabSelected="1" zoomScale="135" zoomScaleNormal="135" zoomScalePageLayoutView="118" workbookViewId="0">
      <pane ySplit="4" topLeftCell="A5" activePane="bottomLeft" state="frozen"/>
      <selection pane="bottomLeft" activeCell="B3" sqref="B3:D3"/>
    </sheetView>
  </sheetViews>
  <sheetFormatPr baseColWidth="10" defaultColWidth="11.33203125" defaultRowHeight="14"/>
  <cols>
    <col min="1" max="1" width="1.1640625" style="160" customWidth="1"/>
    <col min="2" max="2" width="78.83203125" style="160" customWidth="1"/>
    <col min="3" max="4" width="52.83203125" style="160" customWidth="1"/>
    <col min="5" max="5" width="1" style="160" customWidth="1"/>
    <col min="6" max="6" width="7.83203125" style="160" customWidth="1"/>
    <col min="7" max="7" width="20.6640625" style="158" customWidth="1"/>
    <col min="8" max="15" width="11.33203125" style="158"/>
    <col min="16" max="256" width="11.33203125" style="160"/>
    <col min="257" max="257" width="83.6640625" style="160" customWidth="1"/>
    <col min="258" max="258" width="10.6640625" style="160" customWidth="1"/>
    <col min="259" max="259" width="50.6640625" style="160" customWidth="1"/>
    <col min="260" max="260" width="30.6640625" style="160" customWidth="1"/>
    <col min="261" max="262" width="10.6640625" style="160" customWidth="1"/>
    <col min="263" max="263" width="20.6640625" style="160" customWidth="1"/>
    <col min="264" max="512" width="11.33203125" style="160"/>
    <col min="513" max="513" width="83.6640625" style="160" customWidth="1"/>
    <col min="514" max="514" width="10.6640625" style="160" customWidth="1"/>
    <col min="515" max="515" width="50.6640625" style="160" customWidth="1"/>
    <col min="516" max="516" width="30.6640625" style="160" customWidth="1"/>
    <col min="517" max="518" width="10.6640625" style="160" customWidth="1"/>
    <col min="519" max="519" width="20.6640625" style="160" customWidth="1"/>
    <col min="520" max="768" width="11.33203125" style="160"/>
    <col min="769" max="769" width="83.6640625" style="160" customWidth="1"/>
    <col min="770" max="770" width="10.6640625" style="160" customWidth="1"/>
    <col min="771" max="771" width="50.6640625" style="160" customWidth="1"/>
    <col min="772" max="772" width="30.6640625" style="160" customWidth="1"/>
    <col min="773" max="774" width="10.6640625" style="160" customWidth="1"/>
    <col min="775" max="775" width="20.6640625" style="160" customWidth="1"/>
    <col min="776" max="1024" width="11.33203125" style="160"/>
    <col min="1025" max="1025" width="83.6640625" style="160" customWidth="1"/>
    <col min="1026" max="1026" width="10.6640625" style="160" customWidth="1"/>
    <col min="1027" max="1027" width="50.6640625" style="160" customWidth="1"/>
    <col min="1028" max="1028" width="30.6640625" style="160" customWidth="1"/>
    <col min="1029" max="1030" width="10.6640625" style="160" customWidth="1"/>
    <col min="1031" max="1031" width="20.6640625" style="160" customWidth="1"/>
    <col min="1032" max="1280" width="11.33203125" style="160"/>
    <col min="1281" max="1281" width="83.6640625" style="160" customWidth="1"/>
    <col min="1282" max="1282" width="10.6640625" style="160" customWidth="1"/>
    <col min="1283" max="1283" width="50.6640625" style="160" customWidth="1"/>
    <col min="1284" max="1284" width="30.6640625" style="160" customWidth="1"/>
    <col min="1285" max="1286" width="10.6640625" style="160" customWidth="1"/>
    <col min="1287" max="1287" width="20.6640625" style="160" customWidth="1"/>
    <col min="1288" max="1536" width="11.33203125" style="160"/>
    <col min="1537" max="1537" width="83.6640625" style="160" customWidth="1"/>
    <col min="1538" max="1538" width="10.6640625" style="160" customWidth="1"/>
    <col min="1539" max="1539" width="50.6640625" style="160" customWidth="1"/>
    <col min="1540" max="1540" width="30.6640625" style="160" customWidth="1"/>
    <col min="1541" max="1542" width="10.6640625" style="160" customWidth="1"/>
    <col min="1543" max="1543" width="20.6640625" style="160" customWidth="1"/>
    <col min="1544" max="1792" width="11.33203125" style="160"/>
    <col min="1793" max="1793" width="83.6640625" style="160" customWidth="1"/>
    <col min="1794" max="1794" width="10.6640625" style="160" customWidth="1"/>
    <col min="1795" max="1795" width="50.6640625" style="160" customWidth="1"/>
    <col min="1796" max="1796" width="30.6640625" style="160" customWidth="1"/>
    <col min="1797" max="1798" width="10.6640625" style="160" customWidth="1"/>
    <col min="1799" max="1799" width="20.6640625" style="160" customWidth="1"/>
    <col min="1800" max="2048" width="11.33203125" style="160"/>
    <col min="2049" max="2049" width="83.6640625" style="160" customWidth="1"/>
    <col min="2050" max="2050" width="10.6640625" style="160" customWidth="1"/>
    <col min="2051" max="2051" width="50.6640625" style="160" customWidth="1"/>
    <col min="2052" max="2052" width="30.6640625" style="160" customWidth="1"/>
    <col min="2053" max="2054" width="10.6640625" style="160" customWidth="1"/>
    <col min="2055" max="2055" width="20.6640625" style="160" customWidth="1"/>
    <col min="2056" max="2304" width="11.33203125" style="160"/>
    <col min="2305" max="2305" width="83.6640625" style="160" customWidth="1"/>
    <col min="2306" max="2306" width="10.6640625" style="160" customWidth="1"/>
    <col min="2307" max="2307" width="50.6640625" style="160" customWidth="1"/>
    <col min="2308" max="2308" width="30.6640625" style="160" customWidth="1"/>
    <col min="2309" max="2310" width="10.6640625" style="160" customWidth="1"/>
    <col min="2311" max="2311" width="20.6640625" style="160" customWidth="1"/>
    <col min="2312" max="2560" width="11.33203125" style="160"/>
    <col min="2561" max="2561" width="83.6640625" style="160" customWidth="1"/>
    <col min="2562" max="2562" width="10.6640625" style="160" customWidth="1"/>
    <col min="2563" max="2563" width="50.6640625" style="160" customWidth="1"/>
    <col min="2564" max="2564" width="30.6640625" style="160" customWidth="1"/>
    <col min="2565" max="2566" width="10.6640625" style="160" customWidth="1"/>
    <col min="2567" max="2567" width="20.6640625" style="160" customWidth="1"/>
    <col min="2568" max="2816" width="11.33203125" style="160"/>
    <col min="2817" max="2817" width="83.6640625" style="160" customWidth="1"/>
    <col min="2818" max="2818" width="10.6640625" style="160" customWidth="1"/>
    <col min="2819" max="2819" width="50.6640625" style="160" customWidth="1"/>
    <col min="2820" max="2820" width="30.6640625" style="160" customWidth="1"/>
    <col min="2821" max="2822" width="10.6640625" style="160" customWidth="1"/>
    <col min="2823" max="2823" width="20.6640625" style="160" customWidth="1"/>
    <col min="2824" max="3072" width="11.33203125" style="160"/>
    <col min="3073" max="3073" width="83.6640625" style="160" customWidth="1"/>
    <col min="3074" max="3074" width="10.6640625" style="160" customWidth="1"/>
    <col min="3075" max="3075" width="50.6640625" style="160" customWidth="1"/>
    <col min="3076" max="3076" width="30.6640625" style="160" customWidth="1"/>
    <col min="3077" max="3078" width="10.6640625" style="160" customWidth="1"/>
    <col min="3079" max="3079" width="20.6640625" style="160" customWidth="1"/>
    <col min="3080" max="3328" width="11.33203125" style="160"/>
    <col min="3329" max="3329" width="83.6640625" style="160" customWidth="1"/>
    <col min="3330" max="3330" width="10.6640625" style="160" customWidth="1"/>
    <col min="3331" max="3331" width="50.6640625" style="160" customWidth="1"/>
    <col min="3332" max="3332" width="30.6640625" style="160" customWidth="1"/>
    <col min="3333" max="3334" width="10.6640625" style="160" customWidth="1"/>
    <col min="3335" max="3335" width="20.6640625" style="160" customWidth="1"/>
    <col min="3336" max="3584" width="11.33203125" style="160"/>
    <col min="3585" max="3585" width="83.6640625" style="160" customWidth="1"/>
    <col min="3586" max="3586" width="10.6640625" style="160" customWidth="1"/>
    <col min="3587" max="3587" width="50.6640625" style="160" customWidth="1"/>
    <col min="3588" max="3588" width="30.6640625" style="160" customWidth="1"/>
    <col min="3589" max="3590" width="10.6640625" style="160" customWidth="1"/>
    <col min="3591" max="3591" width="20.6640625" style="160" customWidth="1"/>
    <col min="3592" max="3840" width="11.33203125" style="160"/>
    <col min="3841" max="3841" width="83.6640625" style="160" customWidth="1"/>
    <col min="3842" max="3842" width="10.6640625" style="160" customWidth="1"/>
    <col min="3843" max="3843" width="50.6640625" style="160" customWidth="1"/>
    <col min="3844" max="3844" width="30.6640625" style="160" customWidth="1"/>
    <col min="3845" max="3846" width="10.6640625" style="160" customWidth="1"/>
    <col min="3847" max="3847" width="20.6640625" style="160" customWidth="1"/>
    <col min="3848" max="4096" width="11.33203125" style="160"/>
    <col min="4097" max="4097" width="83.6640625" style="160" customWidth="1"/>
    <col min="4098" max="4098" width="10.6640625" style="160" customWidth="1"/>
    <col min="4099" max="4099" width="50.6640625" style="160" customWidth="1"/>
    <col min="4100" max="4100" width="30.6640625" style="160" customWidth="1"/>
    <col min="4101" max="4102" width="10.6640625" style="160" customWidth="1"/>
    <col min="4103" max="4103" width="20.6640625" style="160" customWidth="1"/>
    <col min="4104" max="4352" width="11.33203125" style="160"/>
    <col min="4353" max="4353" width="83.6640625" style="160" customWidth="1"/>
    <col min="4354" max="4354" width="10.6640625" style="160" customWidth="1"/>
    <col min="4355" max="4355" width="50.6640625" style="160" customWidth="1"/>
    <col min="4356" max="4356" width="30.6640625" style="160" customWidth="1"/>
    <col min="4357" max="4358" width="10.6640625" style="160" customWidth="1"/>
    <col min="4359" max="4359" width="20.6640625" style="160" customWidth="1"/>
    <col min="4360" max="4608" width="11.33203125" style="160"/>
    <col min="4609" max="4609" width="83.6640625" style="160" customWidth="1"/>
    <col min="4610" max="4610" width="10.6640625" style="160" customWidth="1"/>
    <col min="4611" max="4611" width="50.6640625" style="160" customWidth="1"/>
    <col min="4612" max="4612" width="30.6640625" style="160" customWidth="1"/>
    <col min="4613" max="4614" width="10.6640625" style="160" customWidth="1"/>
    <col min="4615" max="4615" width="20.6640625" style="160" customWidth="1"/>
    <col min="4616" max="4864" width="11.33203125" style="160"/>
    <col min="4865" max="4865" width="83.6640625" style="160" customWidth="1"/>
    <col min="4866" max="4866" width="10.6640625" style="160" customWidth="1"/>
    <col min="4867" max="4867" width="50.6640625" style="160" customWidth="1"/>
    <col min="4868" max="4868" width="30.6640625" style="160" customWidth="1"/>
    <col min="4869" max="4870" width="10.6640625" style="160" customWidth="1"/>
    <col min="4871" max="4871" width="20.6640625" style="160" customWidth="1"/>
    <col min="4872" max="5120" width="11.33203125" style="160"/>
    <col min="5121" max="5121" width="83.6640625" style="160" customWidth="1"/>
    <col min="5122" max="5122" width="10.6640625" style="160" customWidth="1"/>
    <col min="5123" max="5123" width="50.6640625" style="160" customWidth="1"/>
    <col min="5124" max="5124" width="30.6640625" style="160" customWidth="1"/>
    <col min="5125" max="5126" width="10.6640625" style="160" customWidth="1"/>
    <col min="5127" max="5127" width="20.6640625" style="160" customWidth="1"/>
    <col min="5128" max="5376" width="11.33203125" style="160"/>
    <col min="5377" max="5377" width="83.6640625" style="160" customWidth="1"/>
    <col min="5378" max="5378" width="10.6640625" style="160" customWidth="1"/>
    <col min="5379" max="5379" width="50.6640625" style="160" customWidth="1"/>
    <col min="5380" max="5380" width="30.6640625" style="160" customWidth="1"/>
    <col min="5381" max="5382" width="10.6640625" style="160" customWidth="1"/>
    <col min="5383" max="5383" width="20.6640625" style="160" customWidth="1"/>
    <col min="5384" max="5632" width="11.33203125" style="160"/>
    <col min="5633" max="5633" width="83.6640625" style="160" customWidth="1"/>
    <col min="5634" max="5634" width="10.6640625" style="160" customWidth="1"/>
    <col min="5635" max="5635" width="50.6640625" style="160" customWidth="1"/>
    <col min="5636" max="5636" width="30.6640625" style="160" customWidth="1"/>
    <col min="5637" max="5638" width="10.6640625" style="160" customWidth="1"/>
    <col min="5639" max="5639" width="20.6640625" style="160" customWidth="1"/>
    <col min="5640" max="5888" width="11.33203125" style="160"/>
    <col min="5889" max="5889" width="83.6640625" style="160" customWidth="1"/>
    <col min="5890" max="5890" width="10.6640625" style="160" customWidth="1"/>
    <col min="5891" max="5891" width="50.6640625" style="160" customWidth="1"/>
    <col min="5892" max="5892" width="30.6640625" style="160" customWidth="1"/>
    <col min="5893" max="5894" width="10.6640625" style="160" customWidth="1"/>
    <col min="5895" max="5895" width="20.6640625" style="160" customWidth="1"/>
    <col min="5896" max="6144" width="11.33203125" style="160"/>
    <col min="6145" max="6145" width="83.6640625" style="160" customWidth="1"/>
    <col min="6146" max="6146" width="10.6640625" style="160" customWidth="1"/>
    <col min="6147" max="6147" width="50.6640625" style="160" customWidth="1"/>
    <col min="6148" max="6148" width="30.6640625" style="160" customWidth="1"/>
    <col min="6149" max="6150" width="10.6640625" style="160" customWidth="1"/>
    <col min="6151" max="6151" width="20.6640625" style="160" customWidth="1"/>
    <col min="6152" max="6400" width="11.33203125" style="160"/>
    <col min="6401" max="6401" width="83.6640625" style="160" customWidth="1"/>
    <col min="6402" max="6402" width="10.6640625" style="160" customWidth="1"/>
    <col min="6403" max="6403" width="50.6640625" style="160" customWidth="1"/>
    <col min="6404" max="6404" width="30.6640625" style="160" customWidth="1"/>
    <col min="6405" max="6406" width="10.6640625" style="160" customWidth="1"/>
    <col min="6407" max="6407" width="20.6640625" style="160" customWidth="1"/>
    <col min="6408" max="6656" width="11.33203125" style="160"/>
    <col min="6657" max="6657" width="83.6640625" style="160" customWidth="1"/>
    <col min="6658" max="6658" width="10.6640625" style="160" customWidth="1"/>
    <col min="6659" max="6659" width="50.6640625" style="160" customWidth="1"/>
    <col min="6660" max="6660" width="30.6640625" style="160" customWidth="1"/>
    <col min="6661" max="6662" width="10.6640625" style="160" customWidth="1"/>
    <col min="6663" max="6663" width="20.6640625" style="160" customWidth="1"/>
    <col min="6664" max="6912" width="11.33203125" style="160"/>
    <col min="6913" max="6913" width="83.6640625" style="160" customWidth="1"/>
    <col min="6914" max="6914" width="10.6640625" style="160" customWidth="1"/>
    <col min="6915" max="6915" width="50.6640625" style="160" customWidth="1"/>
    <col min="6916" max="6916" width="30.6640625" style="160" customWidth="1"/>
    <col min="6917" max="6918" width="10.6640625" style="160" customWidth="1"/>
    <col min="6919" max="6919" width="20.6640625" style="160" customWidth="1"/>
    <col min="6920" max="7168" width="11.33203125" style="160"/>
    <col min="7169" max="7169" width="83.6640625" style="160" customWidth="1"/>
    <col min="7170" max="7170" width="10.6640625" style="160" customWidth="1"/>
    <col min="7171" max="7171" width="50.6640625" style="160" customWidth="1"/>
    <col min="7172" max="7172" width="30.6640625" style="160" customWidth="1"/>
    <col min="7173" max="7174" width="10.6640625" style="160" customWidth="1"/>
    <col min="7175" max="7175" width="20.6640625" style="160" customWidth="1"/>
    <col min="7176" max="7424" width="11.33203125" style="160"/>
    <col min="7425" max="7425" width="83.6640625" style="160" customWidth="1"/>
    <col min="7426" max="7426" width="10.6640625" style="160" customWidth="1"/>
    <col min="7427" max="7427" width="50.6640625" style="160" customWidth="1"/>
    <col min="7428" max="7428" width="30.6640625" style="160" customWidth="1"/>
    <col min="7429" max="7430" width="10.6640625" style="160" customWidth="1"/>
    <col min="7431" max="7431" width="20.6640625" style="160" customWidth="1"/>
    <col min="7432" max="7680" width="11.33203125" style="160"/>
    <col min="7681" max="7681" width="83.6640625" style="160" customWidth="1"/>
    <col min="7682" max="7682" width="10.6640625" style="160" customWidth="1"/>
    <col min="7683" max="7683" width="50.6640625" style="160" customWidth="1"/>
    <col min="7684" max="7684" width="30.6640625" style="160" customWidth="1"/>
    <col min="7685" max="7686" width="10.6640625" style="160" customWidth="1"/>
    <col min="7687" max="7687" width="20.6640625" style="160" customWidth="1"/>
    <col min="7688" max="7936" width="11.33203125" style="160"/>
    <col min="7937" max="7937" width="83.6640625" style="160" customWidth="1"/>
    <col min="7938" max="7938" width="10.6640625" style="160" customWidth="1"/>
    <col min="7939" max="7939" width="50.6640625" style="160" customWidth="1"/>
    <col min="7940" max="7940" width="30.6640625" style="160" customWidth="1"/>
    <col min="7941" max="7942" width="10.6640625" style="160" customWidth="1"/>
    <col min="7943" max="7943" width="20.6640625" style="160" customWidth="1"/>
    <col min="7944" max="8192" width="11.33203125" style="160"/>
    <col min="8193" max="8193" width="83.6640625" style="160" customWidth="1"/>
    <col min="8194" max="8194" width="10.6640625" style="160" customWidth="1"/>
    <col min="8195" max="8195" width="50.6640625" style="160" customWidth="1"/>
    <col min="8196" max="8196" width="30.6640625" style="160" customWidth="1"/>
    <col min="8197" max="8198" width="10.6640625" style="160" customWidth="1"/>
    <col min="8199" max="8199" width="20.6640625" style="160" customWidth="1"/>
    <col min="8200" max="8448" width="11.33203125" style="160"/>
    <col min="8449" max="8449" width="83.6640625" style="160" customWidth="1"/>
    <col min="8450" max="8450" width="10.6640625" style="160" customWidth="1"/>
    <col min="8451" max="8451" width="50.6640625" style="160" customWidth="1"/>
    <col min="8452" max="8452" width="30.6640625" style="160" customWidth="1"/>
    <col min="8453" max="8454" width="10.6640625" style="160" customWidth="1"/>
    <col min="8455" max="8455" width="20.6640625" style="160" customWidth="1"/>
    <col min="8456" max="8704" width="11.33203125" style="160"/>
    <col min="8705" max="8705" width="83.6640625" style="160" customWidth="1"/>
    <col min="8706" max="8706" width="10.6640625" style="160" customWidth="1"/>
    <col min="8707" max="8707" width="50.6640625" style="160" customWidth="1"/>
    <col min="8708" max="8708" width="30.6640625" style="160" customWidth="1"/>
    <col min="8709" max="8710" width="10.6640625" style="160" customWidth="1"/>
    <col min="8711" max="8711" width="20.6640625" style="160" customWidth="1"/>
    <col min="8712" max="8960" width="11.33203125" style="160"/>
    <col min="8961" max="8961" width="83.6640625" style="160" customWidth="1"/>
    <col min="8962" max="8962" width="10.6640625" style="160" customWidth="1"/>
    <col min="8963" max="8963" width="50.6640625" style="160" customWidth="1"/>
    <col min="8964" max="8964" width="30.6640625" style="160" customWidth="1"/>
    <col min="8965" max="8966" width="10.6640625" style="160" customWidth="1"/>
    <col min="8967" max="8967" width="20.6640625" style="160" customWidth="1"/>
    <col min="8968" max="9216" width="11.33203125" style="160"/>
    <col min="9217" max="9217" width="83.6640625" style="160" customWidth="1"/>
    <col min="9218" max="9218" width="10.6640625" style="160" customWidth="1"/>
    <col min="9219" max="9219" width="50.6640625" style="160" customWidth="1"/>
    <col min="9220" max="9220" width="30.6640625" style="160" customWidth="1"/>
    <col min="9221" max="9222" width="10.6640625" style="160" customWidth="1"/>
    <col min="9223" max="9223" width="20.6640625" style="160" customWidth="1"/>
    <col min="9224" max="9472" width="11.33203125" style="160"/>
    <col min="9473" max="9473" width="83.6640625" style="160" customWidth="1"/>
    <col min="9474" max="9474" width="10.6640625" style="160" customWidth="1"/>
    <col min="9475" max="9475" width="50.6640625" style="160" customWidth="1"/>
    <col min="9476" max="9476" width="30.6640625" style="160" customWidth="1"/>
    <col min="9477" max="9478" width="10.6640625" style="160" customWidth="1"/>
    <col min="9479" max="9479" width="20.6640625" style="160" customWidth="1"/>
    <col min="9480" max="9728" width="11.33203125" style="160"/>
    <col min="9729" max="9729" width="83.6640625" style="160" customWidth="1"/>
    <col min="9730" max="9730" width="10.6640625" style="160" customWidth="1"/>
    <col min="9731" max="9731" width="50.6640625" style="160" customWidth="1"/>
    <col min="9732" max="9732" width="30.6640625" style="160" customWidth="1"/>
    <col min="9733" max="9734" width="10.6640625" style="160" customWidth="1"/>
    <col min="9735" max="9735" width="20.6640625" style="160" customWidth="1"/>
    <col min="9736" max="9984" width="11.33203125" style="160"/>
    <col min="9985" max="9985" width="83.6640625" style="160" customWidth="1"/>
    <col min="9986" max="9986" width="10.6640625" style="160" customWidth="1"/>
    <col min="9987" max="9987" width="50.6640625" style="160" customWidth="1"/>
    <col min="9988" max="9988" width="30.6640625" style="160" customWidth="1"/>
    <col min="9989" max="9990" width="10.6640625" style="160" customWidth="1"/>
    <col min="9991" max="9991" width="20.6640625" style="160" customWidth="1"/>
    <col min="9992" max="10240" width="11.33203125" style="160"/>
    <col min="10241" max="10241" width="83.6640625" style="160" customWidth="1"/>
    <col min="10242" max="10242" width="10.6640625" style="160" customWidth="1"/>
    <col min="10243" max="10243" width="50.6640625" style="160" customWidth="1"/>
    <col min="10244" max="10244" width="30.6640625" style="160" customWidth="1"/>
    <col min="10245" max="10246" width="10.6640625" style="160" customWidth="1"/>
    <col min="10247" max="10247" width="20.6640625" style="160" customWidth="1"/>
    <col min="10248" max="10496" width="11.33203125" style="160"/>
    <col min="10497" max="10497" width="83.6640625" style="160" customWidth="1"/>
    <col min="10498" max="10498" width="10.6640625" style="160" customWidth="1"/>
    <col min="10499" max="10499" width="50.6640625" style="160" customWidth="1"/>
    <col min="10500" max="10500" width="30.6640625" style="160" customWidth="1"/>
    <col min="10501" max="10502" width="10.6640625" style="160" customWidth="1"/>
    <col min="10503" max="10503" width="20.6640625" style="160" customWidth="1"/>
    <col min="10504" max="10752" width="11.33203125" style="160"/>
    <col min="10753" max="10753" width="83.6640625" style="160" customWidth="1"/>
    <col min="10754" max="10754" width="10.6640625" style="160" customWidth="1"/>
    <col min="10755" max="10755" width="50.6640625" style="160" customWidth="1"/>
    <col min="10756" max="10756" width="30.6640625" style="160" customWidth="1"/>
    <col min="10757" max="10758" width="10.6640625" style="160" customWidth="1"/>
    <col min="10759" max="10759" width="20.6640625" style="160" customWidth="1"/>
    <col min="10760" max="11008" width="11.33203125" style="160"/>
    <col min="11009" max="11009" width="83.6640625" style="160" customWidth="1"/>
    <col min="11010" max="11010" width="10.6640625" style="160" customWidth="1"/>
    <col min="11011" max="11011" width="50.6640625" style="160" customWidth="1"/>
    <col min="11012" max="11012" width="30.6640625" style="160" customWidth="1"/>
    <col min="11013" max="11014" width="10.6640625" style="160" customWidth="1"/>
    <col min="11015" max="11015" width="20.6640625" style="160" customWidth="1"/>
    <col min="11016" max="11264" width="11.33203125" style="160"/>
    <col min="11265" max="11265" width="83.6640625" style="160" customWidth="1"/>
    <col min="11266" max="11266" width="10.6640625" style="160" customWidth="1"/>
    <col min="11267" max="11267" width="50.6640625" style="160" customWidth="1"/>
    <col min="11268" max="11268" width="30.6640625" style="160" customWidth="1"/>
    <col min="11269" max="11270" width="10.6640625" style="160" customWidth="1"/>
    <col min="11271" max="11271" width="20.6640625" style="160" customWidth="1"/>
    <col min="11272" max="11520" width="11.33203125" style="160"/>
    <col min="11521" max="11521" width="83.6640625" style="160" customWidth="1"/>
    <col min="11522" max="11522" width="10.6640625" style="160" customWidth="1"/>
    <col min="11523" max="11523" width="50.6640625" style="160" customWidth="1"/>
    <col min="11524" max="11524" width="30.6640625" style="160" customWidth="1"/>
    <col min="11525" max="11526" width="10.6640625" style="160" customWidth="1"/>
    <col min="11527" max="11527" width="20.6640625" style="160" customWidth="1"/>
    <col min="11528" max="11776" width="11.33203125" style="160"/>
    <col min="11777" max="11777" width="83.6640625" style="160" customWidth="1"/>
    <col min="11778" max="11778" width="10.6640625" style="160" customWidth="1"/>
    <col min="11779" max="11779" width="50.6640625" style="160" customWidth="1"/>
    <col min="11780" max="11780" width="30.6640625" style="160" customWidth="1"/>
    <col min="11781" max="11782" width="10.6640625" style="160" customWidth="1"/>
    <col min="11783" max="11783" width="20.6640625" style="160" customWidth="1"/>
    <col min="11784" max="12032" width="11.33203125" style="160"/>
    <col min="12033" max="12033" width="83.6640625" style="160" customWidth="1"/>
    <col min="12034" max="12034" width="10.6640625" style="160" customWidth="1"/>
    <col min="12035" max="12035" width="50.6640625" style="160" customWidth="1"/>
    <col min="12036" max="12036" width="30.6640625" style="160" customWidth="1"/>
    <col min="12037" max="12038" width="10.6640625" style="160" customWidth="1"/>
    <col min="12039" max="12039" width="20.6640625" style="160" customWidth="1"/>
    <col min="12040" max="12288" width="11.33203125" style="160"/>
    <col min="12289" max="12289" width="83.6640625" style="160" customWidth="1"/>
    <col min="12290" max="12290" width="10.6640625" style="160" customWidth="1"/>
    <col min="12291" max="12291" width="50.6640625" style="160" customWidth="1"/>
    <col min="12292" max="12292" width="30.6640625" style="160" customWidth="1"/>
    <col min="12293" max="12294" width="10.6640625" style="160" customWidth="1"/>
    <col min="12295" max="12295" width="20.6640625" style="160" customWidth="1"/>
    <col min="12296" max="12544" width="11.33203125" style="160"/>
    <col min="12545" max="12545" width="83.6640625" style="160" customWidth="1"/>
    <col min="12546" max="12546" width="10.6640625" style="160" customWidth="1"/>
    <col min="12547" max="12547" width="50.6640625" style="160" customWidth="1"/>
    <col min="12548" max="12548" width="30.6640625" style="160" customWidth="1"/>
    <col min="12549" max="12550" width="10.6640625" style="160" customWidth="1"/>
    <col min="12551" max="12551" width="20.6640625" style="160" customWidth="1"/>
    <col min="12552" max="12800" width="11.33203125" style="160"/>
    <col min="12801" max="12801" width="83.6640625" style="160" customWidth="1"/>
    <col min="12802" max="12802" width="10.6640625" style="160" customWidth="1"/>
    <col min="12803" max="12803" width="50.6640625" style="160" customWidth="1"/>
    <col min="12804" max="12804" width="30.6640625" style="160" customWidth="1"/>
    <col min="12805" max="12806" width="10.6640625" style="160" customWidth="1"/>
    <col min="12807" max="12807" width="20.6640625" style="160" customWidth="1"/>
    <col min="12808" max="13056" width="11.33203125" style="160"/>
    <col min="13057" max="13057" width="83.6640625" style="160" customWidth="1"/>
    <col min="13058" max="13058" width="10.6640625" style="160" customWidth="1"/>
    <col min="13059" max="13059" width="50.6640625" style="160" customWidth="1"/>
    <col min="13060" max="13060" width="30.6640625" style="160" customWidth="1"/>
    <col min="13061" max="13062" width="10.6640625" style="160" customWidth="1"/>
    <col min="13063" max="13063" width="20.6640625" style="160" customWidth="1"/>
    <col min="13064" max="13312" width="11.33203125" style="160"/>
    <col min="13313" max="13313" width="83.6640625" style="160" customWidth="1"/>
    <col min="13314" max="13314" width="10.6640625" style="160" customWidth="1"/>
    <col min="13315" max="13315" width="50.6640625" style="160" customWidth="1"/>
    <col min="13316" max="13316" width="30.6640625" style="160" customWidth="1"/>
    <col min="13317" max="13318" width="10.6640625" style="160" customWidth="1"/>
    <col min="13319" max="13319" width="20.6640625" style="160" customWidth="1"/>
    <col min="13320" max="13568" width="11.33203125" style="160"/>
    <col min="13569" max="13569" width="83.6640625" style="160" customWidth="1"/>
    <col min="13570" max="13570" width="10.6640625" style="160" customWidth="1"/>
    <col min="13571" max="13571" width="50.6640625" style="160" customWidth="1"/>
    <col min="13572" max="13572" width="30.6640625" style="160" customWidth="1"/>
    <col min="13573" max="13574" width="10.6640625" style="160" customWidth="1"/>
    <col min="13575" max="13575" width="20.6640625" style="160" customWidth="1"/>
    <col min="13576" max="13824" width="11.33203125" style="160"/>
    <col min="13825" max="13825" width="83.6640625" style="160" customWidth="1"/>
    <col min="13826" max="13826" width="10.6640625" style="160" customWidth="1"/>
    <col min="13827" max="13827" width="50.6640625" style="160" customWidth="1"/>
    <col min="13828" max="13828" width="30.6640625" style="160" customWidth="1"/>
    <col min="13829" max="13830" width="10.6640625" style="160" customWidth="1"/>
    <col min="13831" max="13831" width="20.6640625" style="160" customWidth="1"/>
    <col min="13832" max="14080" width="11.33203125" style="160"/>
    <col min="14081" max="14081" width="83.6640625" style="160" customWidth="1"/>
    <col min="14082" max="14082" width="10.6640625" style="160" customWidth="1"/>
    <col min="14083" max="14083" width="50.6640625" style="160" customWidth="1"/>
    <col min="14084" max="14084" width="30.6640625" style="160" customWidth="1"/>
    <col min="14085" max="14086" width="10.6640625" style="160" customWidth="1"/>
    <col min="14087" max="14087" width="20.6640625" style="160" customWidth="1"/>
    <col min="14088" max="14336" width="11.33203125" style="160"/>
    <col min="14337" max="14337" width="83.6640625" style="160" customWidth="1"/>
    <col min="14338" max="14338" width="10.6640625" style="160" customWidth="1"/>
    <col min="14339" max="14339" width="50.6640625" style="160" customWidth="1"/>
    <col min="14340" max="14340" width="30.6640625" style="160" customWidth="1"/>
    <col min="14341" max="14342" width="10.6640625" style="160" customWidth="1"/>
    <col min="14343" max="14343" width="20.6640625" style="160" customWidth="1"/>
    <col min="14344" max="14592" width="11.33203125" style="160"/>
    <col min="14593" max="14593" width="83.6640625" style="160" customWidth="1"/>
    <col min="14594" max="14594" width="10.6640625" style="160" customWidth="1"/>
    <col min="14595" max="14595" width="50.6640625" style="160" customWidth="1"/>
    <col min="14596" max="14596" width="30.6640625" style="160" customWidth="1"/>
    <col min="14597" max="14598" width="10.6640625" style="160" customWidth="1"/>
    <col min="14599" max="14599" width="20.6640625" style="160" customWidth="1"/>
    <col min="14600" max="14848" width="11.33203125" style="160"/>
    <col min="14849" max="14849" width="83.6640625" style="160" customWidth="1"/>
    <col min="14850" max="14850" width="10.6640625" style="160" customWidth="1"/>
    <col min="14851" max="14851" width="50.6640625" style="160" customWidth="1"/>
    <col min="14852" max="14852" width="30.6640625" style="160" customWidth="1"/>
    <col min="14853" max="14854" width="10.6640625" style="160" customWidth="1"/>
    <col min="14855" max="14855" width="20.6640625" style="160" customWidth="1"/>
    <col min="14856" max="15104" width="11.33203125" style="160"/>
    <col min="15105" max="15105" width="83.6640625" style="160" customWidth="1"/>
    <col min="15106" max="15106" width="10.6640625" style="160" customWidth="1"/>
    <col min="15107" max="15107" width="50.6640625" style="160" customWidth="1"/>
    <col min="15108" max="15108" width="30.6640625" style="160" customWidth="1"/>
    <col min="15109" max="15110" width="10.6640625" style="160" customWidth="1"/>
    <col min="15111" max="15111" width="20.6640625" style="160" customWidth="1"/>
    <col min="15112" max="15360" width="11.33203125" style="160"/>
    <col min="15361" max="15361" width="83.6640625" style="160" customWidth="1"/>
    <col min="15362" max="15362" width="10.6640625" style="160" customWidth="1"/>
    <col min="15363" max="15363" width="50.6640625" style="160" customWidth="1"/>
    <col min="15364" max="15364" width="30.6640625" style="160" customWidth="1"/>
    <col min="15365" max="15366" width="10.6640625" style="160" customWidth="1"/>
    <col min="15367" max="15367" width="20.6640625" style="160" customWidth="1"/>
    <col min="15368" max="15616" width="11.33203125" style="160"/>
    <col min="15617" max="15617" width="83.6640625" style="160" customWidth="1"/>
    <col min="15618" max="15618" width="10.6640625" style="160" customWidth="1"/>
    <col min="15619" max="15619" width="50.6640625" style="160" customWidth="1"/>
    <col min="15620" max="15620" width="30.6640625" style="160" customWidth="1"/>
    <col min="15621" max="15622" width="10.6640625" style="160" customWidth="1"/>
    <col min="15623" max="15623" width="20.6640625" style="160" customWidth="1"/>
    <col min="15624" max="15872" width="11.33203125" style="160"/>
    <col min="15873" max="15873" width="83.6640625" style="160" customWidth="1"/>
    <col min="15874" max="15874" width="10.6640625" style="160" customWidth="1"/>
    <col min="15875" max="15875" width="50.6640625" style="160" customWidth="1"/>
    <col min="15876" max="15876" width="30.6640625" style="160" customWidth="1"/>
    <col min="15877" max="15878" width="10.6640625" style="160" customWidth="1"/>
    <col min="15879" max="15879" width="20.6640625" style="160" customWidth="1"/>
    <col min="15880" max="16128" width="11.33203125" style="160"/>
    <col min="16129" max="16129" width="83.6640625" style="160" customWidth="1"/>
    <col min="16130" max="16130" width="10.6640625" style="160" customWidth="1"/>
    <col min="16131" max="16131" width="50.6640625" style="160" customWidth="1"/>
    <col min="16132" max="16132" width="30.6640625" style="160" customWidth="1"/>
    <col min="16133" max="16134" width="10.6640625" style="160" customWidth="1"/>
    <col min="16135" max="16135" width="20.6640625" style="160" customWidth="1"/>
    <col min="16136" max="16384" width="11.33203125" style="160"/>
  </cols>
  <sheetData>
    <row r="1" spans="2:15" s="154" customFormat="1" ht="48" customHeight="1">
      <c r="B1" s="153"/>
      <c r="E1" s="155"/>
      <c r="G1" s="155"/>
      <c r="H1" s="155"/>
      <c r="I1" s="155"/>
      <c r="J1" s="155"/>
      <c r="K1" s="155"/>
      <c r="L1" s="155"/>
      <c r="M1" s="155"/>
      <c r="N1" s="155"/>
      <c r="O1" s="155"/>
    </row>
    <row r="2" spans="2:15" s="154" customFormat="1" ht="3" customHeight="1" thickBot="1">
      <c r="B2" s="153"/>
      <c r="E2" s="155"/>
      <c r="G2" s="155"/>
      <c r="H2" s="155"/>
      <c r="I2" s="155"/>
      <c r="J2" s="155"/>
      <c r="K2" s="155"/>
      <c r="L2" s="155"/>
      <c r="M2" s="155"/>
      <c r="N2" s="155"/>
      <c r="O2" s="155"/>
    </row>
    <row r="3" spans="2:15" s="154" customFormat="1" ht="47" customHeight="1" thickBot="1">
      <c r="B3" s="163" t="s">
        <v>355</v>
      </c>
      <c r="C3" s="164"/>
      <c r="D3" s="165"/>
      <c r="E3" s="156"/>
      <c r="F3" s="100" t="s">
        <v>356</v>
      </c>
      <c r="G3" s="155"/>
      <c r="H3" s="155"/>
      <c r="I3" s="155"/>
      <c r="J3" s="155"/>
      <c r="K3" s="155"/>
      <c r="L3" s="155"/>
      <c r="M3" s="155"/>
      <c r="N3" s="155"/>
      <c r="O3" s="155"/>
    </row>
    <row r="4" spans="2:15" s="155" customFormat="1" ht="3" customHeight="1">
      <c r="B4" s="157"/>
    </row>
    <row r="5" spans="2:15" s="158" customFormat="1" ht="15" thickBot="1"/>
    <row r="6" spans="2:15" s="159" customFormat="1" ht="15">
      <c r="B6" s="166" t="s">
        <v>372</v>
      </c>
      <c r="C6" s="167"/>
      <c r="D6" s="167"/>
      <c r="E6" s="167"/>
      <c r="F6" s="168"/>
    </row>
    <row r="7" spans="2:15" s="159" customFormat="1">
      <c r="B7" s="169" t="s">
        <v>375</v>
      </c>
      <c r="C7" s="170"/>
      <c r="D7" s="170"/>
      <c r="E7" s="171"/>
      <c r="F7" s="172"/>
    </row>
    <row r="8" spans="2:15" s="159" customFormat="1">
      <c r="B8" s="169"/>
      <c r="C8" s="170"/>
      <c r="D8" s="170"/>
      <c r="E8" s="171"/>
      <c r="F8" s="172"/>
    </row>
    <row r="9" spans="2:15" s="159" customFormat="1">
      <c r="B9" s="169"/>
      <c r="C9" s="170"/>
      <c r="D9" s="170"/>
      <c r="E9" s="171"/>
      <c r="F9" s="172"/>
    </row>
    <row r="10" spans="2:15" s="159" customFormat="1">
      <c r="B10" s="169"/>
      <c r="C10" s="170"/>
      <c r="D10" s="170"/>
      <c r="E10" s="171"/>
      <c r="F10" s="172"/>
    </row>
    <row r="11" spans="2:15" s="159" customFormat="1">
      <c r="B11" s="169"/>
      <c r="C11" s="170"/>
      <c r="D11" s="170"/>
      <c r="E11" s="171"/>
      <c r="F11" s="172"/>
    </row>
    <row r="12" spans="2:15" s="159" customFormat="1">
      <c r="B12" s="169"/>
      <c r="C12" s="170"/>
      <c r="D12" s="170"/>
      <c r="E12" s="171"/>
      <c r="F12" s="172"/>
    </row>
    <row r="13" spans="2:15" s="159" customFormat="1">
      <c r="B13" s="169"/>
      <c r="C13" s="170"/>
      <c r="D13" s="170"/>
      <c r="E13" s="171"/>
      <c r="F13" s="172"/>
    </row>
    <row r="14" spans="2:15" s="159" customFormat="1">
      <c r="B14" s="169"/>
      <c r="C14" s="170"/>
      <c r="D14" s="170"/>
      <c r="E14" s="171"/>
      <c r="F14" s="172"/>
    </row>
    <row r="15" spans="2:15" s="159" customFormat="1">
      <c r="B15" s="173"/>
      <c r="C15" s="174"/>
      <c r="D15" s="174"/>
      <c r="E15" s="175"/>
      <c r="F15" s="176"/>
    </row>
    <row r="16" spans="2:15" s="159" customFormat="1">
      <c r="B16" s="173"/>
      <c r="C16" s="174"/>
      <c r="D16" s="174"/>
      <c r="E16" s="175"/>
      <c r="F16" s="176"/>
    </row>
    <row r="17" spans="2:6" s="159" customFormat="1">
      <c r="B17" s="173"/>
      <c r="C17" s="174"/>
      <c r="D17" s="174"/>
      <c r="E17" s="175"/>
      <c r="F17" s="176"/>
    </row>
    <row r="18" spans="2:6" s="159" customFormat="1">
      <c r="B18" s="173"/>
      <c r="C18" s="174"/>
      <c r="D18" s="174"/>
      <c r="E18" s="175"/>
      <c r="F18" s="176"/>
    </row>
    <row r="19" spans="2:6" s="159" customFormat="1">
      <c r="B19" s="173"/>
      <c r="C19" s="174"/>
      <c r="D19" s="174"/>
      <c r="E19" s="175"/>
      <c r="F19" s="176"/>
    </row>
    <row r="20" spans="2:6" s="159" customFormat="1">
      <c r="B20" s="173"/>
      <c r="C20" s="174"/>
      <c r="D20" s="174"/>
      <c r="E20" s="175"/>
      <c r="F20" s="176"/>
    </row>
    <row r="21" spans="2:6" s="159" customFormat="1">
      <c r="B21" s="173"/>
      <c r="C21" s="174"/>
      <c r="D21" s="174"/>
      <c r="E21" s="175"/>
      <c r="F21" s="176"/>
    </row>
    <row r="22" spans="2:6" s="159" customFormat="1" ht="15" thickBot="1">
      <c r="B22" s="177"/>
      <c r="C22" s="178"/>
      <c r="D22" s="178"/>
      <c r="E22" s="179"/>
      <c r="F22" s="180"/>
    </row>
    <row r="23" spans="2:6" s="158" customFormat="1" ht="15" thickBot="1"/>
    <row r="24" spans="2:6" s="158" customFormat="1" ht="15">
      <c r="B24" s="166" t="s">
        <v>373</v>
      </c>
      <c r="C24" s="167"/>
      <c r="D24" s="167"/>
      <c r="E24" s="167"/>
      <c r="F24" s="168"/>
    </row>
    <row r="25" spans="2:6" s="158" customFormat="1">
      <c r="B25" s="169" t="s">
        <v>374</v>
      </c>
      <c r="C25" s="170"/>
      <c r="D25" s="170"/>
      <c r="E25" s="171"/>
      <c r="F25" s="172"/>
    </row>
    <row r="26" spans="2:6" s="158" customFormat="1">
      <c r="B26" s="169"/>
      <c r="C26" s="170"/>
      <c r="D26" s="170"/>
      <c r="E26" s="171"/>
      <c r="F26" s="172"/>
    </row>
    <row r="27" spans="2:6" s="158" customFormat="1">
      <c r="B27" s="169"/>
      <c r="C27" s="170"/>
      <c r="D27" s="170"/>
      <c r="E27" s="171"/>
      <c r="F27" s="172"/>
    </row>
    <row r="28" spans="2:6" s="158" customFormat="1">
      <c r="B28" s="169"/>
      <c r="C28" s="170"/>
      <c r="D28" s="170"/>
      <c r="E28" s="171"/>
      <c r="F28" s="172"/>
    </row>
    <row r="29" spans="2:6" s="158" customFormat="1">
      <c r="B29" s="173"/>
      <c r="C29" s="174"/>
      <c r="D29" s="174"/>
      <c r="E29" s="175"/>
      <c r="F29" s="176"/>
    </row>
    <row r="30" spans="2:6" s="158" customFormat="1">
      <c r="B30" s="173"/>
      <c r="C30" s="174"/>
      <c r="D30" s="174"/>
      <c r="E30" s="175"/>
      <c r="F30" s="176"/>
    </row>
    <row r="31" spans="2:6" s="158" customFormat="1" ht="15" thickBot="1">
      <c r="B31" s="177"/>
      <c r="C31" s="178"/>
      <c r="D31" s="178"/>
      <c r="E31" s="179"/>
      <c r="F31" s="180"/>
    </row>
    <row r="32" spans="2:6" s="158" customFormat="1"/>
    <row r="33" s="158" customFormat="1"/>
    <row r="34" s="158" customFormat="1"/>
    <row r="35" s="158" customFormat="1"/>
    <row r="36" s="158" customFormat="1"/>
    <row r="37" s="158" customFormat="1"/>
    <row r="38" s="158" customFormat="1"/>
    <row r="39" s="158" customFormat="1"/>
    <row r="40" s="158" customFormat="1"/>
    <row r="41" s="158" customFormat="1"/>
    <row r="42" s="158" customFormat="1"/>
    <row r="43" s="158" customFormat="1"/>
    <row r="44" s="158" customFormat="1"/>
    <row r="45" s="158" customFormat="1"/>
    <row r="46" s="158" customFormat="1"/>
    <row r="47" s="158" customFormat="1"/>
    <row r="48" s="158" customFormat="1"/>
    <row r="49" s="158" customFormat="1"/>
    <row r="50" s="158" customFormat="1"/>
    <row r="51" s="158" customFormat="1"/>
    <row r="52" s="158" customFormat="1"/>
    <row r="53" s="158" customFormat="1"/>
    <row r="54" s="158" customFormat="1"/>
    <row r="55" s="158" customFormat="1"/>
    <row r="56" s="158" customFormat="1"/>
    <row r="57" s="158" customFormat="1"/>
    <row r="58" s="158" customFormat="1"/>
    <row r="59" s="158" customFormat="1"/>
    <row r="60" s="158" customFormat="1"/>
    <row r="61" s="158" customFormat="1"/>
    <row r="62" s="158" customFormat="1"/>
    <row r="63" s="158" customFormat="1"/>
    <row r="64" s="158" customFormat="1"/>
    <row r="65" s="158" customFormat="1"/>
    <row r="66" s="158" customFormat="1"/>
    <row r="67" s="158" customFormat="1"/>
    <row r="68" s="158" customFormat="1"/>
    <row r="69" s="158" customFormat="1"/>
    <row r="70" s="158" customFormat="1"/>
    <row r="71" s="158" customFormat="1"/>
    <row r="72" s="158" customFormat="1"/>
    <row r="73" s="158" customFormat="1"/>
    <row r="74" s="158" customFormat="1"/>
    <row r="75" s="158" customFormat="1"/>
    <row r="76" s="158" customFormat="1"/>
    <row r="77" s="158" customFormat="1"/>
    <row r="78" s="158" customFormat="1"/>
    <row r="79" s="158" customFormat="1"/>
    <row r="80" s="158" customFormat="1"/>
    <row r="81" s="158" customFormat="1"/>
    <row r="82" s="158" customFormat="1"/>
    <row r="83" s="158" customFormat="1"/>
    <row r="84" s="158" customFormat="1"/>
    <row r="85" s="158" customFormat="1"/>
    <row r="86" s="158" customFormat="1"/>
    <row r="87" s="158" customFormat="1"/>
    <row r="88" s="158" customFormat="1"/>
    <row r="89" s="158" customFormat="1"/>
    <row r="90" s="158" customFormat="1"/>
    <row r="91" s="158" customFormat="1"/>
    <row r="92" s="158" customFormat="1"/>
    <row r="93" s="158" customFormat="1"/>
    <row r="94" s="158" customFormat="1"/>
    <row r="95" s="158" customFormat="1"/>
    <row r="96" s="158" customFormat="1"/>
    <row r="97" s="158" customFormat="1"/>
    <row r="98" s="158" customFormat="1"/>
    <row r="99" s="158" customFormat="1"/>
    <row r="100" s="158" customFormat="1"/>
    <row r="101" s="158" customFormat="1"/>
    <row r="102" s="158" customFormat="1"/>
    <row r="103" s="158" customFormat="1"/>
    <row r="104" s="158" customFormat="1"/>
    <row r="105" s="158" customFormat="1"/>
    <row r="106" s="158" customFormat="1"/>
    <row r="107" s="158" customFormat="1"/>
    <row r="108" s="158" customFormat="1"/>
    <row r="109" s="158" customFormat="1"/>
    <row r="110" s="158" customFormat="1"/>
    <row r="111" s="158" customFormat="1"/>
    <row r="112" s="158" customFormat="1"/>
    <row r="113" s="158" customFormat="1"/>
    <row r="114" s="158" customFormat="1"/>
    <row r="115" s="158" customFormat="1"/>
    <row r="116" s="158" customFormat="1"/>
    <row r="117" s="158" customFormat="1"/>
    <row r="118" s="158" customFormat="1"/>
    <row r="119" s="158" customFormat="1"/>
    <row r="120" s="158" customFormat="1"/>
    <row r="121" s="158" customFormat="1"/>
    <row r="122" s="158" customFormat="1"/>
    <row r="123" s="158" customFormat="1"/>
    <row r="124" s="158" customFormat="1"/>
    <row r="125" s="158" customFormat="1"/>
    <row r="126" s="158" customFormat="1"/>
    <row r="127" s="158" customFormat="1"/>
    <row r="128" s="158" customFormat="1"/>
    <row r="129" s="158" customFormat="1"/>
    <row r="130" s="158" customFormat="1"/>
    <row r="131" s="158" customFormat="1"/>
    <row r="132" s="158" customFormat="1"/>
    <row r="133" s="158" customFormat="1"/>
    <row r="134" s="158" customFormat="1"/>
    <row r="135" s="158" customFormat="1"/>
    <row r="136" s="158" customFormat="1"/>
    <row r="137" s="158" customFormat="1"/>
    <row r="138" s="158" customFormat="1"/>
    <row r="139" s="158" customFormat="1"/>
    <row r="140" s="158" customFormat="1"/>
    <row r="141" s="158" customFormat="1"/>
    <row r="142" s="158" customFormat="1"/>
    <row r="143" s="158" customFormat="1"/>
    <row r="144" s="158" customFormat="1"/>
    <row r="145" s="158" customFormat="1"/>
    <row r="146" s="158" customFormat="1"/>
    <row r="147" s="158" customFormat="1"/>
    <row r="148" s="158" customFormat="1"/>
    <row r="149" s="158" customFormat="1"/>
    <row r="150" s="158" customFormat="1"/>
    <row r="151" s="158" customFormat="1"/>
    <row r="152" s="158" customFormat="1"/>
    <row r="153" s="158" customFormat="1"/>
    <row r="154" s="158" customFormat="1"/>
    <row r="155" s="158" customFormat="1"/>
    <row r="156" s="158" customFormat="1"/>
    <row r="157" s="158" customFormat="1"/>
    <row r="158" s="158" customFormat="1"/>
    <row r="159" s="158" customFormat="1"/>
    <row r="160" s="158" customFormat="1"/>
    <row r="161" s="158" customFormat="1"/>
    <row r="162" s="158" customFormat="1"/>
    <row r="163" s="158" customFormat="1"/>
    <row r="164" s="158" customFormat="1"/>
    <row r="165" s="158" customFormat="1"/>
    <row r="166" s="158" customFormat="1"/>
    <row r="167" s="158" customFormat="1"/>
    <row r="168" s="158" customFormat="1"/>
    <row r="169" s="158" customFormat="1"/>
    <row r="170" s="158" customFormat="1"/>
    <row r="171" s="158" customFormat="1"/>
    <row r="172" s="158" customFormat="1"/>
    <row r="173" s="158" customFormat="1"/>
    <row r="174" s="158" customFormat="1"/>
    <row r="175" s="158" customFormat="1"/>
    <row r="176" s="158" customFormat="1"/>
    <row r="177" s="158" customFormat="1"/>
    <row r="178" s="158" customFormat="1"/>
    <row r="179" s="158" customFormat="1"/>
    <row r="180" s="158" customFormat="1"/>
    <row r="181" s="158" customFormat="1"/>
    <row r="182" s="158" customFormat="1"/>
    <row r="183" s="158" customFormat="1"/>
    <row r="184" s="158" customFormat="1"/>
    <row r="185" s="158" customFormat="1"/>
    <row r="186" s="158" customFormat="1"/>
    <row r="187" s="158" customFormat="1"/>
    <row r="188" s="158" customFormat="1"/>
    <row r="189" s="158" customFormat="1"/>
    <row r="190" s="158" customFormat="1"/>
    <row r="191" s="158" customFormat="1"/>
    <row r="192" s="158" customFormat="1"/>
    <row r="193" s="158" customFormat="1"/>
    <row r="194" s="158" customFormat="1"/>
    <row r="195" s="158" customFormat="1"/>
    <row r="196" s="158" customFormat="1"/>
    <row r="197" s="158" customFormat="1"/>
    <row r="198" s="158" customFormat="1"/>
    <row r="199" s="158" customFormat="1"/>
    <row r="200" s="158" customFormat="1"/>
    <row r="201" s="158" customFormat="1"/>
    <row r="202" s="158" customFormat="1"/>
    <row r="203" s="158" customFormat="1"/>
    <row r="204" s="158" customFormat="1"/>
    <row r="205" s="158" customFormat="1"/>
    <row r="206" s="158" customFormat="1"/>
    <row r="207" s="158" customFormat="1"/>
    <row r="208" s="158" customFormat="1"/>
    <row r="209" s="158" customFormat="1"/>
    <row r="210" s="158" customFormat="1"/>
    <row r="211" s="158" customFormat="1"/>
    <row r="212" s="158" customFormat="1"/>
    <row r="213" s="158" customFormat="1"/>
    <row r="214" s="158" customFormat="1"/>
    <row r="215" s="158" customFormat="1"/>
    <row r="216" s="158" customFormat="1"/>
    <row r="217" s="158" customFormat="1"/>
    <row r="218" s="158" customFormat="1"/>
    <row r="219" s="158" customFormat="1"/>
    <row r="220" s="158" customFormat="1"/>
    <row r="221" s="158" customFormat="1"/>
    <row r="222" s="158" customFormat="1"/>
    <row r="223" s="158" customFormat="1"/>
    <row r="224" s="158" customFormat="1"/>
    <row r="225" s="158" customFormat="1"/>
    <row r="226" s="158" customFormat="1"/>
    <row r="227" s="158" customFormat="1"/>
    <row r="228" s="158" customFormat="1"/>
    <row r="229" s="158" customFormat="1"/>
    <row r="230" s="158" customFormat="1"/>
    <row r="231" s="158" customFormat="1"/>
    <row r="232" s="158" customFormat="1"/>
    <row r="233" s="158" customFormat="1"/>
    <row r="234" s="158" customFormat="1"/>
    <row r="235" s="158" customFormat="1"/>
    <row r="236" s="158" customFormat="1"/>
    <row r="237" s="158" customFormat="1"/>
    <row r="238" s="158" customFormat="1"/>
    <row r="239" s="158" customFormat="1"/>
    <row r="240" s="158" customFormat="1"/>
    <row r="241" s="158" customFormat="1"/>
    <row r="242" s="158" customFormat="1"/>
    <row r="243" s="158" customFormat="1"/>
    <row r="244" s="158" customFormat="1"/>
    <row r="245" s="158" customFormat="1"/>
    <row r="246" s="158" customFormat="1"/>
    <row r="247" s="158" customFormat="1"/>
    <row r="248" s="158" customFormat="1"/>
    <row r="249" s="158" customFormat="1"/>
    <row r="250" s="158" customFormat="1"/>
    <row r="251" s="158" customFormat="1"/>
    <row r="252" s="158" customFormat="1"/>
    <row r="253" s="158" customFormat="1"/>
    <row r="254" s="158" customFormat="1"/>
    <row r="255" s="158" customFormat="1"/>
    <row r="256" s="158" customFormat="1"/>
    <row r="257" s="158" customFormat="1"/>
    <row r="258" s="158" customFormat="1"/>
    <row r="259" s="158" customFormat="1"/>
    <row r="260" s="158" customFormat="1"/>
    <row r="261" s="158" customFormat="1"/>
    <row r="262" s="158" customFormat="1"/>
    <row r="263" s="158" customFormat="1"/>
    <row r="264" s="158" customFormat="1"/>
    <row r="265" s="158" customFormat="1"/>
    <row r="266" s="158" customFormat="1"/>
    <row r="267" s="158" customFormat="1"/>
    <row r="268" s="158" customFormat="1"/>
    <row r="269" s="158" customFormat="1"/>
    <row r="270" s="158" customFormat="1"/>
    <row r="271" s="158" customFormat="1"/>
    <row r="272" s="158" customFormat="1"/>
    <row r="273" s="158" customFormat="1"/>
    <row r="274" s="158" customFormat="1"/>
    <row r="275" s="158" customFormat="1"/>
    <row r="276" s="158" customFormat="1"/>
    <row r="277" s="158" customFormat="1"/>
    <row r="278" s="158" customFormat="1"/>
    <row r="279" s="158" customFormat="1"/>
    <row r="280" s="158" customFormat="1"/>
    <row r="281" s="158" customFormat="1"/>
    <row r="282" s="158" customFormat="1"/>
    <row r="283" s="158" customFormat="1"/>
    <row r="284" s="158" customFormat="1"/>
    <row r="285" s="158" customFormat="1"/>
    <row r="286" s="158" customFormat="1"/>
    <row r="287" s="158" customFormat="1"/>
    <row r="288" s="158" customFormat="1"/>
    <row r="289" s="158" customFormat="1"/>
    <row r="290" s="158" customFormat="1"/>
    <row r="291" s="158" customFormat="1"/>
    <row r="292" s="158" customFormat="1"/>
    <row r="293" s="158" customFormat="1"/>
    <row r="294" s="158" customFormat="1"/>
    <row r="295" s="158" customFormat="1"/>
    <row r="296" s="158" customFormat="1"/>
    <row r="297" s="158" customFormat="1"/>
    <row r="298" s="158" customFormat="1"/>
    <row r="299" s="158" customFormat="1"/>
    <row r="300" s="158" customFormat="1"/>
    <row r="301" s="158" customFormat="1"/>
    <row r="302" s="158" customFormat="1"/>
    <row r="303" s="158" customFormat="1"/>
    <row r="304" s="158" customFormat="1"/>
    <row r="305" s="158" customFormat="1"/>
    <row r="306" s="158" customFormat="1"/>
    <row r="307" s="158" customFormat="1"/>
    <row r="308" s="158" customFormat="1"/>
    <row r="309" s="158" customFormat="1"/>
    <row r="310" s="158" customFormat="1"/>
    <row r="311" s="158" customFormat="1"/>
    <row r="312" s="158" customFormat="1"/>
    <row r="313" s="158" customFormat="1"/>
    <row r="314" s="158" customFormat="1"/>
    <row r="315" s="158" customFormat="1"/>
    <row r="316" s="158" customFormat="1"/>
    <row r="317" s="158" customFormat="1"/>
    <row r="318" s="158" customFormat="1"/>
    <row r="319" s="158" customFormat="1"/>
    <row r="320" s="158" customFormat="1"/>
    <row r="321" s="158" customFormat="1"/>
    <row r="322" s="158" customFormat="1"/>
    <row r="323" s="158" customFormat="1"/>
    <row r="324" s="158" customFormat="1"/>
    <row r="325" s="158" customFormat="1"/>
    <row r="326" s="158" customFormat="1"/>
    <row r="327" s="158" customFormat="1"/>
    <row r="328" s="158" customFormat="1"/>
    <row r="329" s="158" customFormat="1"/>
    <row r="330" s="158" customFormat="1"/>
    <row r="331" s="158" customFormat="1"/>
    <row r="332" s="158" customFormat="1"/>
    <row r="333" s="158" customFormat="1"/>
    <row r="334" s="158" customFormat="1"/>
    <row r="335" s="158" customFormat="1"/>
    <row r="336" s="158" customFormat="1"/>
    <row r="337" s="158" customFormat="1"/>
    <row r="338" s="158" customFormat="1"/>
    <row r="339" s="158" customFormat="1"/>
    <row r="340" s="158" customFormat="1"/>
    <row r="341" s="158" customFormat="1"/>
    <row r="342" s="158" customFormat="1"/>
    <row r="343" s="158" customFormat="1"/>
    <row r="344" s="158" customFormat="1"/>
    <row r="345" s="158" customFormat="1"/>
    <row r="346" s="158" customFormat="1"/>
    <row r="347" s="158" customFormat="1"/>
    <row r="348" s="158" customFormat="1"/>
    <row r="349" s="158" customFormat="1"/>
    <row r="350" s="158" customFormat="1"/>
    <row r="351" s="158" customFormat="1"/>
    <row r="352" s="158" customFormat="1"/>
    <row r="353" s="158" customFormat="1"/>
    <row r="354" s="158" customFormat="1"/>
    <row r="355" s="158" customFormat="1"/>
    <row r="356" s="158" customFormat="1"/>
    <row r="357" s="158" customFormat="1"/>
    <row r="358" s="158" customFormat="1"/>
    <row r="359" s="158" customFormat="1"/>
    <row r="360" s="158" customFormat="1"/>
    <row r="361" s="158" customFormat="1"/>
    <row r="362" s="158" customFormat="1"/>
    <row r="363" s="158" customFormat="1"/>
    <row r="364" s="158" customFormat="1"/>
    <row r="365" s="158" customFormat="1"/>
    <row r="366" s="158" customFormat="1"/>
    <row r="367" s="158" customFormat="1"/>
    <row r="368" s="158" customFormat="1"/>
    <row r="369" s="158" customFormat="1"/>
    <row r="370" s="158" customFormat="1"/>
    <row r="371" s="158" customFormat="1"/>
    <row r="372" s="158" customFormat="1"/>
    <row r="373" s="158" customFormat="1"/>
    <row r="374" s="158" customFormat="1"/>
    <row r="375" s="158" customFormat="1"/>
    <row r="376" s="158" customFormat="1"/>
    <row r="377" s="158" customFormat="1"/>
    <row r="378" s="158" customFormat="1"/>
    <row r="379" s="158" customFormat="1"/>
    <row r="380" s="158" customFormat="1"/>
    <row r="381" s="158" customFormat="1"/>
    <row r="382" s="158" customFormat="1"/>
    <row r="383" s="158" customFormat="1"/>
    <row r="384" s="158" customFormat="1"/>
    <row r="385" s="158" customFormat="1"/>
    <row r="386" s="158" customFormat="1"/>
    <row r="387" s="158" customFormat="1"/>
    <row r="388" s="158" customFormat="1"/>
    <row r="389" s="158" customFormat="1"/>
    <row r="390" s="158" customFormat="1"/>
    <row r="391" s="158" customFormat="1"/>
    <row r="392" s="158" customFormat="1"/>
    <row r="393" s="158" customFormat="1"/>
    <row r="394" s="158" customFormat="1"/>
    <row r="395" s="158" customFormat="1"/>
    <row r="396" s="158" customFormat="1"/>
    <row r="397" s="158" customFormat="1"/>
    <row r="398" s="158" customFormat="1"/>
    <row r="399" s="158" customFormat="1"/>
    <row r="400" s="158" customFormat="1"/>
    <row r="401" s="158" customFormat="1"/>
    <row r="402" s="158" customFormat="1"/>
    <row r="403" s="158" customFormat="1"/>
    <row r="404" s="158" customFormat="1"/>
    <row r="405" s="158" customFormat="1"/>
    <row r="406" s="158" customFormat="1"/>
    <row r="407" s="158" customFormat="1"/>
    <row r="408" s="158" customFormat="1"/>
    <row r="409" s="158" customFormat="1"/>
    <row r="410" s="158" customFormat="1"/>
    <row r="411" s="158" customFormat="1"/>
    <row r="412" s="158" customFormat="1"/>
    <row r="413" s="158" customFormat="1"/>
    <row r="414" s="158" customFormat="1"/>
    <row r="415" s="158" customFormat="1"/>
    <row r="416" s="158" customFormat="1"/>
    <row r="417" s="158" customFormat="1"/>
    <row r="418" s="158" customFormat="1"/>
    <row r="419" s="158" customFormat="1"/>
    <row r="420" s="158" customFormat="1"/>
    <row r="421" s="158" customFormat="1"/>
    <row r="422" s="158" customFormat="1"/>
    <row r="423" s="158" customFormat="1"/>
    <row r="424" s="158" customFormat="1"/>
    <row r="425" s="158" customFormat="1"/>
    <row r="426" s="158" customFormat="1"/>
    <row r="427" s="158" customFormat="1"/>
    <row r="428" s="158" customFormat="1"/>
    <row r="429" s="158" customFormat="1"/>
    <row r="430" s="158" customFormat="1"/>
    <row r="431" s="158" customFormat="1"/>
    <row r="432" s="158" customFormat="1"/>
    <row r="433" s="158" customFormat="1"/>
    <row r="434" s="158" customFormat="1"/>
    <row r="435" s="158" customFormat="1"/>
    <row r="436" s="158" customFormat="1"/>
    <row r="437" s="158" customFormat="1"/>
    <row r="438" s="158" customFormat="1"/>
    <row r="439" s="158" customFormat="1"/>
    <row r="440" s="158" customFormat="1"/>
    <row r="441" s="158" customFormat="1"/>
    <row r="442" s="158" customFormat="1"/>
    <row r="443" s="158" customFormat="1"/>
    <row r="444" s="158" customFormat="1"/>
    <row r="445" s="158" customFormat="1"/>
    <row r="446" s="158" customFormat="1"/>
    <row r="447" s="158" customFormat="1"/>
    <row r="448" s="158" customFormat="1"/>
    <row r="449" s="158" customFormat="1"/>
    <row r="450" s="158" customFormat="1"/>
    <row r="451" s="158" customFormat="1"/>
    <row r="452" s="158" customFormat="1"/>
    <row r="453" s="158" customFormat="1"/>
    <row r="454" s="158" customFormat="1"/>
    <row r="455" s="158" customFormat="1"/>
    <row r="456" s="158" customFormat="1"/>
    <row r="457" s="158" customFormat="1"/>
    <row r="458" s="158" customFormat="1"/>
    <row r="459" s="158" customFormat="1"/>
    <row r="460" s="158" customFormat="1"/>
    <row r="461" s="158" customFormat="1"/>
    <row r="462" s="158" customFormat="1"/>
    <row r="463" s="158" customFormat="1"/>
    <row r="464" s="158" customFormat="1"/>
    <row r="465" s="158" customFormat="1"/>
    <row r="466" s="158" customFormat="1"/>
    <row r="467" s="158" customFormat="1"/>
    <row r="468" s="158" customFormat="1"/>
    <row r="469" s="158" customFormat="1"/>
    <row r="470" s="158" customFormat="1"/>
    <row r="471" s="158" customFormat="1"/>
    <row r="472" s="158" customFormat="1"/>
    <row r="473" s="158" customFormat="1"/>
    <row r="474" s="158" customFormat="1"/>
    <row r="475" s="158" customFormat="1"/>
    <row r="476" s="158" customFormat="1"/>
    <row r="477" s="158" customFormat="1"/>
    <row r="478" s="158" customFormat="1"/>
    <row r="479" s="158" customFormat="1"/>
    <row r="480" s="158" customFormat="1"/>
    <row r="481" s="158" customFormat="1"/>
    <row r="482" s="158" customFormat="1"/>
    <row r="483" s="158" customFormat="1"/>
    <row r="484" s="158" customFormat="1"/>
    <row r="485" s="158" customFormat="1"/>
    <row r="486" s="158" customFormat="1"/>
    <row r="487" s="158" customFormat="1"/>
    <row r="488" s="158" customFormat="1"/>
    <row r="489" s="158" customFormat="1"/>
    <row r="490" s="158" customFormat="1"/>
    <row r="491" s="158" customFormat="1"/>
    <row r="492" s="158" customFormat="1"/>
    <row r="493" s="158" customFormat="1"/>
    <row r="494" s="158" customFormat="1"/>
    <row r="495" s="158" customFormat="1"/>
    <row r="496" s="158" customFormat="1"/>
    <row r="497" s="158" customFormat="1"/>
    <row r="498" s="158" customFormat="1"/>
    <row r="499" s="158" customFormat="1"/>
    <row r="500" s="158" customFormat="1"/>
    <row r="501" s="158" customFormat="1"/>
    <row r="502" s="158" customFormat="1"/>
    <row r="503" s="158" customFormat="1"/>
    <row r="504" s="158" customFormat="1"/>
    <row r="505" s="158" customFormat="1"/>
    <row r="506" s="158" customFormat="1"/>
    <row r="507" s="158" customFormat="1"/>
    <row r="508" s="158" customFormat="1"/>
    <row r="509" s="158" customFormat="1"/>
    <row r="510" s="158" customFormat="1"/>
    <row r="511" s="158" customFormat="1"/>
    <row r="512" s="158" customFormat="1"/>
    <row r="513" s="158" customFormat="1"/>
    <row r="514" s="158" customFormat="1"/>
    <row r="515" s="158" customFormat="1"/>
    <row r="516" s="158" customFormat="1"/>
    <row r="517" s="158" customFormat="1"/>
    <row r="518" s="158" customFormat="1"/>
    <row r="519" s="158" customFormat="1"/>
    <row r="520" s="158" customFormat="1"/>
    <row r="521" s="158" customFormat="1"/>
    <row r="522" s="158" customFormat="1"/>
    <row r="523" s="158" customFormat="1"/>
    <row r="524" s="158" customFormat="1"/>
    <row r="525" s="158" customFormat="1"/>
    <row r="526" s="158" customFormat="1"/>
    <row r="527" s="158" customFormat="1"/>
    <row r="528" s="158" customFormat="1"/>
    <row r="529" s="158" customFormat="1"/>
    <row r="530" s="158" customFormat="1"/>
    <row r="531" s="158" customFormat="1"/>
    <row r="532" s="158" customFormat="1"/>
    <row r="533" s="158" customFormat="1"/>
    <row r="534" s="158" customFormat="1"/>
    <row r="535" s="158" customFormat="1"/>
    <row r="536" s="158" customFormat="1"/>
    <row r="537" s="158" customFormat="1"/>
    <row r="538" s="158" customFormat="1"/>
    <row r="539" s="158" customFormat="1"/>
    <row r="540" s="158" customFormat="1"/>
    <row r="541" s="158" customFormat="1"/>
    <row r="542" s="158" customFormat="1"/>
    <row r="543" s="158" customFormat="1"/>
    <row r="544" s="158" customFormat="1"/>
    <row r="545" s="158" customFormat="1"/>
    <row r="546" s="158" customFormat="1"/>
    <row r="547" s="158" customFormat="1"/>
    <row r="548" s="158" customFormat="1"/>
    <row r="549" s="158" customFormat="1"/>
    <row r="550" s="158" customFormat="1"/>
    <row r="551" s="158" customFormat="1"/>
    <row r="552" s="158" customFormat="1"/>
    <row r="553" s="158" customFormat="1"/>
    <row r="554" s="158" customFormat="1"/>
    <row r="555" s="158" customFormat="1"/>
    <row r="556" s="158" customFormat="1"/>
    <row r="557" s="158" customFormat="1"/>
    <row r="558" s="158" customFormat="1"/>
    <row r="559" s="158" customFormat="1"/>
    <row r="560" s="158" customFormat="1"/>
    <row r="561" s="158" customFormat="1"/>
    <row r="562" s="158" customFormat="1"/>
    <row r="563" s="158" customFormat="1"/>
    <row r="564" s="158" customFormat="1"/>
    <row r="565" s="158" customFormat="1"/>
    <row r="566" s="158" customFormat="1"/>
    <row r="567" s="158" customFormat="1"/>
    <row r="568" s="158" customFormat="1"/>
    <row r="569" s="158" customFormat="1"/>
    <row r="570" s="158" customFormat="1"/>
    <row r="571" s="158" customFormat="1"/>
  </sheetData>
  <sheetProtection sheet="1" objects="1" scenarios="1"/>
  <mergeCells count="5">
    <mergeCell ref="B3:D3"/>
    <mergeCell ref="B6:F6"/>
    <mergeCell ref="B7:F22"/>
    <mergeCell ref="B24:F24"/>
    <mergeCell ref="B25:F31"/>
  </mergeCells>
  <pageMargins left="0.7" right="0.7" top="0.75" bottom="0.75" header="0.3" footer="0.3"/>
  <pageSetup paperSize="9" orientation="portrait" horizontalDpi="75" verticalDpi="75"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pageSetUpPr fitToPage="1"/>
  </sheetPr>
  <dimension ref="B1:G72"/>
  <sheetViews>
    <sheetView showGridLines="0" zoomScale="135" zoomScaleNormal="135" zoomScalePageLayoutView="117" workbookViewId="0">
      <pane ySplit="3" topLeftCell="A4" activePane="bottomLeft" state="frozen"/>
      <selection pane="bottomLeft" activeCell="B16" sqref="B16"/>
    </sheetView>
  </sheetViews>
  <sheetFormatPr baseColWidth="10" defaultColWidth="8.83203125" defaultRowHeight="14"/>
  <cols>
    <col min="1" max="1" width="1.1640625" style="19" customWidth="1"/>
    <col min="2" max="3" width="28.83203125" style="19" customWidth="1"/>
    <col min="4" max="4" width="130.83203125" style="18" customWidth="1"/>
    <col min="5" max="5" width="12.83203125" style="18" customWidth="1"/>
    <col min="6" max="6" width="12.83203125" style="19" customWidth="1"/>
    <col min="7" max="16384" width="8.83203125" style="19"/>
  </cols>
  <sheetData>
    <row r="1" spans="2:7" ht="48" customHeight="1">
      <c r="B1" s="17"/>
      <c r="C1" s="17"/>
      <c r="D1" s="18" t="s">
        <v>1</v>
      </c>
    </row>
    <row r="2" spans="2:7" ht="2" customHeight="1" thickBot="1"/>
    <row r="3" spans="2:7" s="21" customFormat="1" ht="70" customHeight="1" thickBot="1">
      <c r="B3" s="181" t="s">
        <v>285</v>
      </c>
      <c r="C3" s="182"/>
      <c r="D3" s="183"/>
      <c r="E3" s="72"/>
      <c r="F3" s="73"/>
      <c r="G3" s="73"/>
    </row>
    <row r="4" spans="2:7" s="21" customFormat="1" ht="4" customHeight="1" thickBot="1">
      <c r="B4" s="58"/>
      <c r="C4" s="20"/>
      <c r="E4" s="19"/>
      <c r="F4" s="19"/>
    </row>
    <row r="5" spans="2:7" s="36" customFormat="1" ht="18">
      <c r="B5" s="39" t="s">
        <v>9</v>
      </c>
      <c r="C5" s="49"/>
      <c r="D5" s="147"/>
    </row>
    <row r="6" spans="2:7" s="36" customFormat="1" ht="16" customHeight="1">
      <c r="B6" s="25" t="s">
        <v>8</v>
      </c>
      <c r="C6" s="26" t="s">
        <v>22</v>
      </c>
      <c r="D6" s="127" t="s">
        <v>3</v>
      </c>
    </row>
    <row r="7" spans="2:7" s="88" customFormat="1" ht="29" customHeight="1">
      <c r="B7" s="187" t="s">
        <v>81</v>
      </c>
      <c r="C7" s="188"/>
      <c r="D7" s="189"/>
    </row>
    <row r="8" spans="2:7" s="88" customFormat="1" ht="25" customHeight="1">
      <c r="B8" s="93" t="s">
        <v>6</v>
      </c>
      <c r="C8" s="146"/>
      <c r="D8" s="148" t="s">
        <v>75</v>
      </c>
    </row>
    <row r="9" spans="2:7" s="88" customFormat="1" ht="25" customHeight="1">
      <c r="B9" s="93" t="s">
        <v>76</v>
      </c>
      <c r="C9" s="146"/>
      <c r="D9" s="148" t="s">
        <v>77</v>
      </c>
    </row>
    <row r="10" spans="2:7" s="36" customFormat="1" ht="25" customHeight="1">
      <c r="B10" s="28" t="s">
        <v>6</v>
      </c>
      <c r="C10" s="146"/>
      <c r="D10" s="149" t="s">
        <v>229</v>
      </c>
    </row>
    <row r="11" spans="2:7" s="36" customFormat="1" ht="25" customHeight="1">
      <c r="B11" s="28" t="s">
        <v>19</v>
      </c>
      <c r="C11" s="146"/>
      <c r="D11" s="149" t="s">
        <v>230</v>
      </c>
    </row>
    <row r="12" spans="2:7" s="36" customFormat="1" ht="25" customHeight="1">
      <c r="B12" s="28" t="s">
        <v>6</v>
      </c>
      <c r="C12" s="146"/>
      <c r="D12" s="149" t="s">
        <v>231</v>
      </c>
    </row>
    <row r="13" spans="2:7" s="36" customFormat="1" ht="16" customHeight="1">
      <c r="B13" s="184" t="s">
        <v>353</v>
      </c>
      <c r="C13" s="185"/>
      <c r="D13" s="186"/>
      <c r="E13" s="68"/>
    </row>
    <row r="14" spans="2:7" s="36" customFormat="1" ht="25" customHeight="1">
      <c r="B14" s="28" t="s">
        <v>6</v>
      </c>
      <c r="C14" s="146"/>
      <c r="D14" s="149" t="s">
        <v>240</v>
      </c>
    </row>
    <row r="15" spans="2:7" s="36" customFormat="1" ht="25" customHeight="1">
      <c r="B15" s="28" t="s">
        <v>20</v>
      </c>
      <c r="C15" s="146"/>
      <c r="D15" s="149" t="s">
        <v>241</v>
      </c>
    </row>
    <row r="16" spans="2:7" s="36" customFormat="1" ht="25" customHeight="1">
      <c r="B16" s="28" t="s">
        <v>142</v>
      </c>
      <c r="C16" s="146"/>
      <c r="D16" s="149" t="s">
        <v>242</v>
      </c>
    </row>
    <row r="17" spans="2:5" s="27" customFormat="1" ht="16" customHeight="1">
      <c r="B17" s="184" t="s">
        <v>36</v>
      </c>
      <c r="C17" s="185"/>
      <c r="D17" s="186"/>
      <c r="E17" s="29"/>
    </row>
    <row r="18" spans="2:5" s="36" customFormat="1" ht="25" customHeight="1">
      <c r="B18" s="28" t="s">
        <v>6</v>
      </c>
      <c r="C18" s="146"/>
      <c r="D18" s="149" t="s">
        <v>37</v>
      </c>
    </row>
    <row r="19" spans="2:5" s="36" customFormat="1" ht="25" customHeight="1">
      <c r="B19" s="28" t="s">
        <v>35</v>
      </c>
      <c r="C19" s="146"/>
      <c r="D19" s="149" t="s">
        <v>34</v>
      </c>
    </row>
    <row r="20" spans="2:5" s="36" customFormat="1" ht="25" customHeight="1" thickBot="1">
      <c r="B20" s="106" t="s">
        <v>302</v>
      </c>
      <c r="C20" s="150"/>
      <c r="D20" s="151" t="s">
        <v>309</v>
      </c>
    </row>
    <row r="21" spans="2:5" s="27" customFormat="1" ht="13">
      <c r="D21" s="29"/>
      <c r="E21" s="29"/>
    </row>
    <row r="22" spans="2:5" s="27" customFormat="1" ht="13">
      <c r="D22" s="29"/>
      <c r="E22" s="29"/>
    </row>
    <row r="23" spans="2:5" s="27" customFormat="1" ht="13">
      <c r="D23" s="29"/>
      <c r="E23" s="29"/>
    </row>
    <row r="24" spans="2:5" s="27" customFormat="1" ht="13">
      <c r="D24" s="29"/>
      <c r="E24" s="29"/>
    </row>
    <row r="25" spans="2:5" s="27" customFormat="1" ht="13">
      <c r="D25" s="29"/>
      <c r="E25" s="29"/>
    </row>
    <row r="26" spans="2:5" s="27" customFormat="1" ht="13">
      <c r="D26" s="29"/>
      <c r="E26" s="29"/>
    </row>
    <row r="27" spans="2:5" s="27" customFormat="1" ht="13">
      <c r="D27" s="29"/>
      <c r="E27" s="29"/>
    </row>
    <row r="28" spans="2:5" s="27" customFormat="1" ht="13">
      <c r="D28" s="29"/>
      <c r="E28" s="29"/>
    </row>
    <row r="29" spans="2:5" s="27" customFormat="1" ht="13">
      <c r="D29" s="29"/>
      <c r="E29" s="29"/>
    </row>
    <row r="30" spans="2:5" s="27" customFormat="1" ht="13">
      <c r="D30" s="29"/>
      <c r="E30" s="29"/>
    </row>
    <row r="31" spans="2:5" s="27" customFormat="1" ht="13">
      <c r="D31" s="29"/>
      <c r="E31" s="29"/>
    </row>
    <row r="32" spans="2:5" s="27" customFormat="1" ht="13">
      <c r="D32" s="29"/>
      <c r="E32" s="29"/>
    </row>
    <row r="33" spans="2:5" s="27" customFormat="1" ht="13">
      <c r="D33" s="29"/>
      <c r="E33" s="29"/>
    </row>
    <row r="34" spans="2:5" s="22" customFormat="1">
      <c r="D34" s="23"/>
      <c r="E34" s="23"/>
    </row>
    <row r="35" spans="2:5" s="22" customFormat="1">
      <c r="D35" s="23"/>
      <c r="E35" s="23"/>
    </row>
    <row r="36" spans="2:5" s="22" customFormat="1">
      <c r="D36" s="23"/>
      <c r="E36" s="23"/>
    </row>
    <row r="37" spans="2:5" s="22" customFormat="1">
      <c r="D37" s="23"/>
      <c r="E37" s="23"/>
    </row>
    <row r="38" spans="2:5" s="22" customFormat="1">
      <c r="D38" s="23"/>
      <c r="E38" s="23"/>
    </row>
    <row r="39" spans="2:5" s="22" customFormat="1">
      <c r="D39" s="23"/>
      <c r="E39" s="23"/>
    </row>
    <row r="40" spans="2:5" s="22" customFormat="1">
      <c r="D40" s="23"/>
      <c r="E40" s="23"/>
    </row>
    <row r="41" spans="2:5" s="22" customFormat="1">
      <c r="D41" s="23"/>
      <c r="E41" s="23"/>
    </row>
    <row r="42" spans="2:5" s="22" customFormat="1">
      <c r="D42" s="23"/>
      <c r="E42" s="23"/>
    </row>
    <row r="43" spans="2:5" s="22" customFormat="1">
      <c r="D43" s="23"/>
      <c r="E43" s="23"/>
    </row>
    <row r="44" spans="2:5" s="22" customFormat="1">
      <c r="D44" s="23"/>
      <c r="E44" s="23"/>
    </row>
    <row r="45" spans="2:5" s="22" customFormat="1">
      <c r="D45" s="23"/>
      <c r="E45" s="18"/>
    </row>
    <row r="46" spans="2:5" s="22" customFormat="1">
      <c r="D46" s="23"/>
      <c r="E46" s="18"/>
    </row>
    <row r="47" spans="2:5" s="22" customFormat="1">
      <c r="D47" s="23"/>
      <c r="E47" s="18"/>
    </row>
    <row r="48" spans="2:5">
      <c r="B48" s="22"/>
      <c r="C48" s="22"/>
      <c r="D48" s="23"/>
    </row>
    <row r="49" spans="2:4">
      <c r="B49" s="22"/>
      <c r="C49" s="22"/>
      <c r="D49" s="23"/>
    </row>
    <row r="50" spans="2:4">
      <c r="B50" s="22"/>
      <c r="C50" s="22"/>
      <c r="D50" s="23"/>
    </row>
    <row r="51" spans="2:4">
      <c r="B51" s="22"/>
      <c r="C51" s="22"/>
      <c r="D51" s="23"/>
    </row>
    <row r="52" spans="2:4">
      <c r="B52" s="22"/>
      <c r="C52" s="22"/>
      <c r="D52" s="23"/>
    </row>
    <row r="53" spans="2:4">
      <c r="B53" s="22"/>
      <c r="C53" s="22"/>
      <c r="D53" s="23"/>
    </row>
    <row r="54" spans="2:4">
      <c r="B54" s="22"/>
      <c r="C54" s="22"/>
      <c r="D54" s="23"/>
    </row>
    <row r="55" spans="2:4">
      <c r="B55" s="22"/>
      <c r="C55" s="22"/>
      <c r="D55" s="23"/>
    </row>
    <row r="56" spans="2:4">
      <c r="B56" s="22"/>
      <c r="C56" s="22"/>
      <c r="D56" s="23"/>
    </row>
    <row r="57" spans="2:4">
      <c r="B57" s="22"/>
      <c r="C57" s="22"/>
      <c r="D57" s="23"/>
    </row>
    <row r="58" spans="2:4">
      <c r="B58" s="22"/>
      <c r="C58" s="22"/>
      <c r="D58" s="23"/>
    </row>
    <row r="59" spans="2:4">
      <c r="B59" s="22"/>
      <c r="C59" s="22"/>
      <c r="D59" s="23"/>
    </row>
    <row r="60" spans="2:4">
      <c r="B60" s="22"/>
      <c r="C60" s="22"/>
      <c r="D60" s="23"/>
    </row>
    <row r="61" spans="2:4">
      <c r="B61" s="22"/>
      <c r="C61" s="22"/>
      <c r="D61" s="23"/>
    </row>
    <row r="62" spans="2:4">
      <c r="B62" s="22"/>
      <c r="C62" s="22"/>
      <c r="D62" s="23"/>
    </row>
    <row r="63" spans="2:4">
      <c r="B63" s="22"/>
      <c r="C63" s="22"/>
      <c r="D63" s="23"/>
    </row>
    <row r="64" spans="2:4">
      <c r="B64" s="22"/>
      <c r="C64" s="22"/>
      <c r="D64" s="23"/>
    </row>
    <row r="65" spans="2:4">
      <c r="B65" s="22"/>
      <c r="C65" s="22"/>
      <c r="D65" s="23"/>
    </row>
    <row r="66" spans="2:4">
      <c r="B66" s="22"/>
      <c r="C66" s="22"/>
      <c r="D66" s="23"/>
    </row>
    <row r="67" spans="2:4">
      <c r="B67" s="22"/>
      <c r="C67" s="22"/>
      <c r="D67" s="23"/>
    </row>
    <row r="68" spans="2:4">
      <c r="B68" s="22"/>
      <c r="C68" s="22"/>
      <c r="D68" s="23"/>
    </row>
    <row r="69" spans="2:4">
      <c r="B69" s="22"/>
      <c r="C69" s="22"/>
      <c r="D69" s="23"/>
    </row>
    <row r="70" spans="2:4">
      <c r="B70" s="22"/>
      <c r="C70" s="22"/>
      <c r="D70" s="23"/>
    </row>
    <row r="71" spans="2:4">
      <c r="B71" s="22"/>
      <c r="C71" s="22"/>
      <c r="D71" s="23"/>
    </row>
    <row r="72" spans="2:4">
      <c r="B72" s="22"/>
      <c r="C72" s="22"/>
      <c r="D72" s="23"/>
    </row>
  </sheetData>
  <sheetProtection sheet="1" objects="1" scenarios="1"/>
  <mergeCells count="4">
    <mergeCell ref="B3:D3"/>
    <mergeCell ref="B17:D17"/>
    <mergeCell ref="B7:D7"/>
    <mergeCell ref="B13:D13"/>
  </mergeCells>
  <conditionalFormatting sqref="C11">
    <cfRule type="expression" dxfId="119" priority="129">
      <formula>LEN(C11)&lt;8</formula>
    </cfRule>
  </conditionalFormatting>
  <conditionalFormatting sqref="C14">
    <cfRule type="expression" dxfId="118" priority="19">
      <formula>LEN(C14)&lt;8</formula>
    </cfRule>
  </conditionalFormatting>
  <conditionalFormatting sqref="C12">
    <cfRule type="expression" dxfId="117" priority="18">
      <formula>LEN(C12)&lt;8</formula>
    </cfRule>
  </conditionalFormatting>
  <conditionalFormatting sqref="C20">
    <cfRule type="expression" dxfId="116" priority="17">
      <formula>LEN(C20)&lt;12</formula>
    </cfRule>
  </conditionalFormatting>
  <conditionalFormatting sqref="C10">
    <cfRule type="expression" dxfId="115" priority="15">
      <formula>LEN(C10)&gt;40</formula>
    </cfRule>
    <cfRule type="expression" dxfId="114" priority="16">
      <formula>LEN(C10)&lt;8</formula>
    </cfRule>
  </conditionalFormatting>
  <conditionalFormatting sqref="C16">
    <cfRule type="expression" dxfId="113" priority="12">
      <formula>LEN(C16)&lt;12</formula>
    </cfRule>
  </conditionalFormatting>
  <conditionalFormatting sqref="C15">
    <cfRule type="expression" dxfId="112" priority="11">
      <formula>LEN(C15)&lt;8</formula>
    </cfRule>
  </conditionalFormatting>
  <conditionalFormatting sqref="C8:C9">
    <cfRule type="containsBlanks" dxfId="111" priority="6">
      <formula>LEN(TRIM(C8))=0</formula>
    </cfRule>
    <cfRule type="duplicateValues" dxfId="110" priority="7"/>
  </conditionalFormatting>
  <conditionalFormatting sqref="C9">
    <cfRule type="expression" dxfId="109" priority="662">
      <formula>LEN(#REF!)&lt;8</formula>
    </cfRule>
  </conditionalFormatting>
  <conditionalFormatting sqref="C18">
    <cfRule type="expression" dxfId="108" priority="5">
      <formula>LEN(C18)&lt;8</formula>
    </cfRule>
  </conditionalFormatting>
  <conditionalFormatting sqref="C19">
    <cfRule type="expression" dxfId="107" priority="4">
      <formula>LEN(C19)&lt;8</formula>
    </cfRule>
  </conditionalFormatting>
  <dataValidations count="5">
    <dataValidation type="textLength" allowBlank="1" showInputMessage="1" showErrorMessage="1" errorTitle="Password Length Error" error="Password must be minimum of 8 and maximum 12 characters length" promptTitle="Password Policy" prompt="At least 8 characters, but no more than 20 characters in length _x000a_At least one lower-case letter_x000a_At least one upper-case letter_x000a_At least one digit_x000a_At least one special char (e.g: @!#$%?^)" sqref="C12" xr:uid="{AA3DCDA1-51A3-1B4F-BA51-00B31742B9AE}">
      <formula1>8</formula1>
      <formula2>12</formula2>
    </dataValidation>
    <dataValidation type="textLength" allowBlank="1" showInputMessage="1" showErrorMessage="1" errorTitle="Password Length Error" error="Password must be minimum of 8 and maximum 20 characters length" promptTitle="Password Policy" prompt="8-20 character length, atleast one Uppercase, lowercase, number &amp; special character (e.g: @!#$%?^)" sqref="C11 C18:C19" xr:uid="{42594C90-3A27-2F49-8094-3AF94BD00ED5}">
      <formula1>8</formula1>
      <formula2>20</formula2>
    </dataValidation>
    <dataValidation allowBlank="1" showInputMessage="1" showErrorMessage="1" promptTitle="VxRail mystic Account" prompt="The password used for the mystic account must be different to the root account of the VxRail Manager appliance" sqref="C9" xr:uid="{E0396B9B-707A-9640-B528-D0FEFCE87D4D}"/>
    <dataValidation type="textLength" allowBlank="1" showInputMessage="1" showErrorMessage="1" errorTitle="Password Length Error" error="Password must be minimum of 12 and maximum 255 characters length" promptTitle="Password Policy" prompt="At least 12 characters_x000a_At least one lower-case letter_x000a_At least one upper-case letter_x000a_At least one digit_x000a_At least one special char_x000a_At least five different char_x000a_NO three same consecutive chars_x000a_NOT a dictionary word_x000a_NOT more than four monotonic char sequence" sqref="C14:C16" xr:uid="{8FAB2D48-AEB8-254F-B1E7-12FBE6A89D62}">
      <formula1>12</formula1>
      <formula2>255</formula2>
    </dataValidation>
    <dataValidation type="textLength" allowBlank="1" showInputMessage="1" showErrorMessage="1" errorTitle="Password Length Error" error="Password must be minimum of 12 and maximum 127 characters length" promptTitle="Password Policy" prompt="At least 12 characters_x000a_At least one lower-case letter_x000a_At least one upper-case letter_x000a_At least one digit_x000a_At least one special character (e.g: @!#$%?^)_x000a_A character cannot be repeated more than 3 times consecutively" sqref="C20" xr:uid="{31D12AC3-9295-7D41-8AD9-22ED16BACA8B}">
      <formula1>12</formula1>
      <formula2>127</formula2>
    </dataValidation>
  </dataValidations>
  <printOptions horizontalCentered="1"/>
  <pageMargins left="0.5" right="0.5" top="0.5" bottom="0.5" header="0.25" footer="0.25"/>
  <pageSetup orientation="portrait" r:id="rId1"/>
  <headerFooter alignWithMargins="0">
    <oddFooter>&amp;L&amp;8http://www.vertex42.com/ExcelTemplates/spring-cleaning-checklist.html</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AJ84"/>
  <sheetViews>
    <sheetView zoomScale="130" zoomScaleNormal="130" workbookViewId="0">
      <pane ySplit="4" topLeftCell="A5" activePane="bottomLeft" state="frozen"/>
      <selection pane="bottomLeft" activeCell="E15" sqref="E15:F15"/>
    </sheetView>
  </sheetViews>
  <sheetFormatPr baseColWidth="10" defaultColWidth="12.5" defaultRowHeight="13"/>
  <cols>
    <col min="1" max="1" width="1.1640625" style="30" customWidth="1"/>
    <col min="2" max="2" width="19" style="37" customWidth="1"/>
    <col min="3" max="3" width="7.33203125" style="37" customWidth="1"/>
    <col min="4" max="4" width="34" style="37" customWidth="1"/>
    <col min="5" max="6" width="16.83203125" style="37" customWidth="1"/>
    <col min="7" max="7" width="6.1640625" style="37" customWidth="1"/>
    <col min="8" max="8" width="2.33203125" style="30" customWidth="1"/>
    <col min="9" max="12" width="25.83203125" style="37" customWidth="1"/>
    <col min="13" max="16" width="25.83203125" style="30" customWidth="1"/>
    <col min="17" max="36" width="12.5" style="30"/>
    <col min="37" max="16384" width="12.5" style="37"/>
  </cols>
  <sheetData>
    <row r="1" spans="1:36" s="30" customFormat="1" ht="48" customHeight="1"/>
    <row r="2" spans="1:36" s="31" customFormat="1" ht="2" customHeight="1" thickBot="1">
      <c r="D2" s="32"/>
      <c r="E2" s="33"/>
      <c r="F2" s="33"/>
    </row>
    <row r="3" spans="1:36" s="31" customFormat="1" ht="60" customHeight="1" thickBot="1">
      <c r="B3" s="215" t="s">
        <v>284</v>
      </c>
      <c r="C3" s="216"/>
      <c r="D3" s="217"/>
      <c r="E3" s="217"/>
      <c r="F3" s="217"/>
      <c r="G3" s="217"/>
      <c r="H3" s="217"/>
      <c r="I3" s="217"/>
      <c r="J3" s="217"/>
      <c r="K3" s="217"/>
      <c r="L3" s="218"/>
    </row>
    <row r="4" spans="1:36" s="36" customFormat="1" ht="4" customHeight="1" thickBot="1">
      <c r="A4" s="34"/>
      <c r="B4" s="34"/>
      <c r="C4" s="34"/>
      <c r="D4" s="35"/>
      <c r="E4" s="35"/>
      <c r="F4" s="35"/>
      <c r="G4" s="34"/>
      <c r="H4" s="34"/>
      <c r="I4" s="34"/>
      <c r="J4" s="34"/>
      <c r="K4" s="34"/>
      <c r="L4" s="31"/>
      <c r="M4" s="31"/>
      <c r="N4" s="34"/>
      <c r="O4" s="34"/>
      <c r="P4" s="34"/>
      <c r="Q4" s="34"/>
      <c r="R4" s="34"/>
      <c r="S4" s="34"/>
      <c r="T4" s="34"/>
      <c r="U4" s="34"/>
      <c r="V4" s="34"/>
      <c r="W4" s="34"/>
      <c r="X4" s="34"/>
      <c r="Y4" s="34"/>
      <c r="Z4" s="34"/>
      <c r="AA4" s="34"/>
      <c r="AB4" s="34"/>
      <c r="AC4" s="34"/>
      <c r="AD4" s="34"/>
      <c r="AE4" s="34"/>
      <c r="AF4" s="34"/>
      <c r="AG4" s="34"/>
      <c r="AH4" s="34"/>
      <c r="AI4" s="34"/>
      <c r="AJ4" s="34"/>
    </row>
    <row r="5" spans="1:36" s="43" customFormat="1" ht="16" customHeight="1" thickBot="1">
      <c r="A5" s="41"/>
      <c r="B5" s="219" t="s">
        <v>61</v>
      </c>
      <c r="C5" s="220"/>
      <c r="D5" s="221"/>
      <c r="E5" s="221"/>
      <c r="F5" s="221"/>
      <c r="G5" s="222"/>
      <c r="H5" s="42"/>
      <c r="I5" s="228" t="s">
        <v>60</v>
      </c>
      <c r="J5" s="229"/>
      <c r="K5" s="229"/>
      <c r="L5" s="230"/>
      <c r="M5" s="41"/>
      <c r="N5" s="41"/>
      <c r="O5" s="41"/>
      <c r="P5" s="41"/>
      <c r="Q5" s="41"/>
      <c r="R5" s="41"/>
      <c r="S5" s="41"/>
      <c r="T5" s="41"/>
      <c r="U5" s="41"/>
      <c r="V5" s="41"/>
      <c r="W5" s="41"/>
      <c r="X5" s="41"/>
      <c r="Y5" s="41"/>
      <c r="Z5" s="41"/>
      <c r="AA5" s="41"/>
      <c r="AB5" s="41"/>
      <c r="AC5" s="41"/>
      <c r="AD5" s="41"/>
      <c r="AE5" s="41"/>
      <c r="AF5" s="41"/>
      <c r="AG5" s="41"/>
      <c r="AH5" s="41"/>
      <c r="AI5" s="41"/>
      <c r="AJ5" s="41"/>
    </row>
    <row r="6" spans="1:36" s="43" customFormat="1" ht="16" customHeight="1">
      <c r="A6" s="41"/>
      <c r="B6" s="74" t="s">
        <v>243</v>
      </c>
      <c r="C6" s="44" t="s">
        <v>2</v>
      </c>
      <c r="D6" s="44" t="s">
        <v>21</v>
      </c>
      <c r="E6" s="44" t="s">
        <v>27</v>
      </c>
      <c r="F6" s="44" t="s">
        <v>4</v>
      </c>
      <c r="G6" s="45" t="s">
        <v>14</v>
      </c>
      <c r="H6" s="46"/>
      <c r="I6" s="77" t="s">
        <v>275</v>
      </c>
      <c r="J6" s="78" t="s">
        <v>276</v>
      </c>
      <c r="K6" s="78" t="s">
        <v>369</v>
      </c>
      <c r="L6" s="79" t="s">
        <v>277</v>
      </c>
      <c r="M6" s="41"/>
      <c r="N6" s="41"/>
      <c r="O6" s="41"/>
      <c r="P6" s="41"/>
      <c r="Q6" s="41"/>
      <c r="R6" s="41"/>
      <c r="S6" s="41"/>
      <c r="T6" s="41"/>
      <c r="U6" s="41"/>
      <c r="V6" s="41"/>
      <c r="W6" s="41"/>
      <c r="X6" s="41"/>
      <c r="Y6" s="41"/>
      <c r="Z6" s="41"/>
      <c r="AA6" s="41"/>
      <c r="AB6" s="41"/>
      <c r="AC6" s="41"/>
      <c r="AD6" s="41"/>
      <c r="AE6" s="41"/>
      <c r="AF6" s="41"/>
      <c r="AG6" s="41"/>
      <c r="AH6" s="41"/>
      <c r="AI6" s="41"/>
      <c r="AJ6" s="41"/>
    </row>
    <row r="7" spans="1:36" s="43" customFormat="1" ht="16" customHeight="1">
      <c r="A7" s="41"/>
      <c r="B7" s="74" t="s">
        <v>244</v>
      </c>
      <c r="C7" s="70">
        <v>1611</v>
      </c>
      <c r="D7" s="109" t="s">
        <v>119</v>
      </c>
      <c r="E7" s="70" t="s">
        <v>43</v>
      </c>
      <c r="F7" s="70" t="s">
        <v>44</v>
      </c>
      <c r="G7" s="71">
        <v>1500</v>
      </c>
      <c r="H7" s="47"/>
      <c r="I7" s="80" t="s">
        <v>47</v>
      </c>
      <c r="J7" s="76" t="s">
        <v>48</v>
      </c>
      <c r="K7" s="76" t="s">
        <v>49</v>
      </c>
      <c r="L7" s="81" t="s">
        <v>50</v>
      </c>
      <c r="M7" s="41"/>
      <c r="N7" s="41"/>
      <c r="O7" s="41"/>
      <c r="P7" s="41"/>
      <c r="Q7" s="41"/>
      <c r="R7" s="41"/>
      <c r="S7" s="41"/>
      <c r="T7" s="41"/>
      <c r="U7" s="41"/>
      <c r="V7" s="41"/>
      <c r="W7" s="41"/>
      <c r="X7" s="41"/>
      <c r="Y7" s="41"/>
      <c r="Z7" s="41"/>
      <c r="AA7" s="41"/>
      <c r="AB7" s="41"/>
      <c r="AC7" s="41"/>
      <c r="AD7" s="41"/>
      <c r="AE7" s="41"/>
      <c r="AF7" s="41"/>
      <c r="AG7" s="41"/>
      <c r="AH7" s="41"/>
      <c r="AI7" s="41"/>
      <c r="AJ7" s="41"/>
    </row>
    <row r="8" spans="1:36" s="43" customFormat="1" ht="16" customHeight="1">
      <c r="A8" s="41"/>
      <c r="B8" s="74" t="s">
        <v>245</v>
      </c>
      <c r="C8" s="114">
        <v>1612</v>
      </c>
      <c r="D8" s="110" t="s">
        <v>120</v>
      </c>
      <c r="E8" s="121" t="s">
        <v>5</v>
      </c>
      <c r="F8" s="121" t="s">
        <v>5</v>
      </c>
      <c r="G8" s="122" t="s">
        <v>5</v>
      </c>
      <c r="H8" s="47"/>
      <c r="I8" s="74" t="s">
        <v>62</v>
      </c>
      <c r="J8" s="123" t="s">
        <v>5</v>
      </c>
      <c r="K8" s="75" t="s">
        <v>64</v>
      </c>
      <c r="L8" s="122" t="s">
        <v>5</v>
      </c>
      <c r="M8" s="41"/>
      <c r="N8" s="41"/>
      <c r="O8" s="41"/>
      <c r="P8" s="41"/>
      <c r="Q8" s="41"/>
      <c r="R8" s="41"/>
      <c r="S8" s="41"/>
      <c r="T8" s="41"/>
      <c r="U8" s="41"/>
      <c r="V8" s="41"/>
      <c r="W8" s="41"/>
      <c r="X8" s="41"/>
      <c r="Y8" s="41"/>
      <c r="Z8" s="41"/>
      <c r="AA8" s="41"/>
      <c r="AB8" s="41"/>
      <c r="AC8" s="41"/>
      <c r="AD8" s="41"/>
      <c r="AE8" s="41"/>
      <c r="AF8" s="41"/>
      <c r="AG8" s="41"/>
      <c r="AH8" s="41"/>
      <c r="AI8" s="41"/>
      <c r="AJ8" s="41"/>
    </row>
    <row r="9" spans="1:36" s="43" customFormat="1" ht="16" customHeight="1" thickBot="1">
      <c r="A9" s="41"/>
      <c r="B9" s="74" t="s">
        <v>246</v>
      </c>
      <c r="C9" s="114">
        <v>1613</v>
      </c>
      <c r="D9" s="110" t="s">
        <v>121</v>
      </c>
      <c r="E9" s="121" t="s">
        <v>5</v>
      </c>
      <c r="F9" s="121" t="s">
        <v>5</v>
      </c>
      <c r="G9" s="122" t="s">
        <v>5</v>
      </c>
      <c r="H9" s="47"/>
      <c r="I9" s="82" t="s">
        <v>63</v>
      </c>
      <c r="J9" s="124" t="s">
        <v>5</v>
      </c>
      <c r="K9" s="83" t="s">
        <v>65</v>
      </c>
      <c r="L9" s="125" t="s">
        <v>5</v>
      </c>
      <c r="M9" s="41"/>
      <c r="N9" s="41"/>
      <c r="O9" s="41"/>
      <c r="P9" s="41"/>
      <c r="Q9" s="41"/>
      <c r="R9" s="41"/>
      <c r="S9" s="41"/>
      <c r="T9" s="41"/>
      <c r="U9" s="41"/>
      <c r="V9" s="41"/>
      <c r="W9" s="41"/>
      <c r="X9" s="41"/>
      <c r="Y9" s="41"/>
      <c r="Z9" s="41"/>
      <c r="AA9" s="41"/>
      <c r="AB9" s="41"/>
      <c r="AC9" s="41"/>
      <c r="AD9" s="41"/>
      <c r="AE9" s="41"/>
      <c r="AF9" s="41"/>
      <c r="AG9" s="41"/>
      <c r="AH9" s="41"/>
      <c r="AI9" s="41"/>
      <c r="AJ9" s="41"/>
    </row>
    <row r="10" spans="1:36" s="41" customFormat="1" ht="16" customHeight="1" thickBot="1">
      <c r="B10" s="116"/>
      <c r="C10" s="116"/>
      <c r="D10" s="116"/>
      <c r="E10" s="116"/>
      <c r="F10" s="116"/>
      <c r="G10" s="116"/>
      <c r="H10" s="48"/>
      <c r="I10" s="30"/>
      <c r="J10" s="30"/>
      <c r="K10" s="30"/>
    </row>
    <row r="11" spans="1:36" ht="16" thickBot="1">
      <c r="B11" s="204" t="s">
        <v>362</v>
      </c>
      <c r="C11" s="205"/>
      <c r="D11" s="205"/>
      <c r="E11" s="205"/>
      <c r="F11" s="206"/>
      <c r="G11" s="118"/>
      <c r="H11" s="38"/>
      <c r="I11" s="139" t="s">
        <v>336</v>
      </c>
      <c r="J11" s="140" t="s">
        <v>337</v>
      </c>
      <c r="K11" s="141" t="s">
        <v>91</v>
      </c>
      <c r="L11" s="130"/>
      <c r="M11" s="130"/>
    </row>
    <row r="12" spans="1:36" ht="15">
      <c r="B12" s="203" t="s">
        <v>363</v>
      </c>
      <c r="C12" s="203"/>
      <c r="D12" s="203"/>
      <c r="E12" s="207" t="s">
        <v>10</v>
      </c>
      <c r="F12" s="208"/>
      <c r="G12" s="118"/>
      <c r="H12" s="38"/>
      <c r="I12" s="142" t="s">
        <v>7</v>
      </c>
      <c r="J12" s="235" t="s">
        <v>332</v>
      </c>
      <c r="K12" s="167"/>
      <c r="L12" s="235" t="s">
        <v>343</v>
      </c>
      <c r="M12" s="168"/>
    </row>
    <row r="13" spans="1:36" ht="16" customHeight="1">
      <c r="B13" s="203" t="s">
        <v>364</v>
      </c>
      <c r="C13" s="203"/>
      <c r="D13" s="203"/>
      <c r="E13" s="201" t="s">
        <v>266</v>
      </c>
      <c r="F13" s="209"/>
      <c r="G13" s="118">
        <f>LEN(E15)-LEN(SUBSTITUTE(E15,",",""))</f>
        <v>0</v>
      </c>
      <c r="H13" s="117"/>
      <c r="I13" s="143" t="s">
        <v>333</v>
      </c>
      <c r="J13" s="192" t="s">
        <v>334</v>
      </c>
      <c r="K13" s="236"/>
      <c r="L13" s="192" t="s">
        <v>335</v>
      </c>
      <c r="M13" s="193"/>
    </row>
    <row r="14" spans="1:36" ht="16" customHeight="1">
      <c r="B14" s="161" t="s">
        <v>380</v>
      </c>
      <c r="C14" s="161"/>
      <c r="D14" s="161"/>
      <c r="E14" s="201" t="s">
        <v>379</v>
      </c>
      <c r="F14" s="202"/>
      <c r="G14" s="118">
        <f>IF(G13&gt;2,LEFT(E15,LEN(E15)-SEARCH(",",E15,SEARCH(",",E15)+1)),E15)</f>
        <v>0</v>
      </c>
      <c r="H14" s="117"/>
      <c r="I14" s="143" t="str">
        <f>'Deploy Parameters'!F12</f>
        <v>sfo-m01-vxm01</v>
      </c>
      <c r="J14" s="194"/>
      <c r="K14" s="196"/>
      <c r="L14" s="194"/>
      <c r="M14" s="195"/>
    </row>
    <row r="15" spans="1:36" ht="16" customHeight="1" thickBot="1">
      <c r="B15" s="231"/>
      <c r="C15" s="231"/>
      <c r="D15" s="231"/>
      <c r="E15" s="199"/>
      <c r="F15" s="200"/>
      <c r="G15" s="118" t="str">
        <f>IF(G13&gt;2,RIGHT(E15,LEN(E15)-SEARCH(",", E15, SEARCH(",", E15) + 1)),"")</f>
        <v/>
      </c>
      <c r="H15" s="117"/>
      <c r="I15" s="143" t="str">
        <f>'Deploy Parameters'!F22</f>
        <v>sfo-m01-vc01</v>
      </c>
      <c r="J15" s="194"/>
      <c r="K15" s="196"/>
      <c r="L15" s="197"/>
      <c r="M15" s="198"/>
    </row>
    <row r="16" spans="1:36" ht="16" customHeight="1">
      <c r="B16" s="190" t="s">
        <v>361</v>
      </c>
      <c r="C16" s="190"/>
      <c r="D16" s="190"/>
      <c r="E16" s="191"/>
      <c r="F16" s="152" t="s">
        <v>313</v>
      </c>
      <c r="G16" s="118"/>
      <c r="H16" s="117"/>
      <c r="I16" s="143" t="str">
        <f>I6</f>
        <v>sfo01-m01-esx01</v>
      </c>
      <c r="J16" s="194"/>
      <c r="K16" s="195"/>
      <c r="L16" s="30"/>
    </row>
    <row r="17" spans="2:12" ht="15">
      <c r="B17" s="227" t="s">
        <v>367</v>
      </c>
      <c r="C17" s="227"/>
      <c r="D17" s="227"/>
      <c r="E17" s="223" t="s">
        <v>10</v>
      </c>
      <c r="F17" s="224"/>
      <c r="G17" s="118">
        <f>LEN(E19)-LEN(SUBSTITUTE(E19,",",""))</f>
        <v>1</v>
      </c>
      <c r="H17" s="116"/>
      <c r="I17" s="143" t="str">
        <f>J6</f>
        <v>sfo01-m01-esx02</v>
      </c>
      <c r="J17" s="194"/>
      <c r="K17" s="195"/>
      <c r="L17" s="30"/>
    </row>
    <row r="18" spans="2:12" ht="16" customHeight="1">
      <c r="B18" s="203" t="s">
        <v>288</v>
      </c>
      <c r="C18" s="203"/>
      <c r="D18" s="203"/>
      <c r="E18" s="225" t="s">
        <v>368</v>
      </c>
      <c r="F18" s="226"/>
      <c r="G18" s="118" t="str">
        <f>IF(G17&gt;2,LEFT(E19,LEN(E19)-SEARCH(",", E19, SEARCH(",", E19) + 1)),E19)</f>
        <v>vmnic4,vmnic5</v>
      </c>
      <c r="H18" s="116"/>
      <c r="I18" s="143" t="str">
        <f>K6</f>
        <v>sfo01-m01-esx03</v>
      </c>
      <c r="J18" s="194"/>
      <c r="K18" s="195"/>
      <c r="L18" s="30"/>
    </row>
    <row r="19" spans="2:12" ht="16" customHeight="1" thickBot="1">
      <c r="B19" s="203" t="s">
        <v>289</v>
      </c>
      <c r="C19" s="203"/>
      <c r="D19" s="203"/>
      <c r="E19" s="225" t="s">
        <v>292</v>
      </c>
      <c r="F19" s="226"/>
      <c r="G19" s="118" t="str">
        <f>IF(G17&gt;2,RIGHT(E19,LEN(E19)-SEARCH(",", E19, SEARCH(",", E19) + 1)),"")</f>
        <v/>
      </c>
      <c r="H19" s="117"/>
      <c r="I19" s="144" t="str">
        <f>L6</f>
        <v>sfo01-m01-esx04</v>
      </c>
      <c r="J19" s="197"/>
      <c r="K19" s="198"/>
      <c r="L19" s="30"/>
    </row>
    <row r="20" spans="2:12" ht="16" thickBot="1">
      <c r="B20" s="203" t="s">
        <v>290</v>
      </c>
      <c r="C20" s="203"/>
      <c r="D20" s="203"/>
      <c r="E20" s="225">
        <v>9000</v>
      </c>
      <c r="F20" s="226"/>
      <c r="G20" s="116"/>
      <c r="H20" s="117"/>
      <c r="I20" s="30"/>
      <c r="J20" s="30"/>
      <c r="K20" s="30"/>
      <c r="L20" s="30"/>
    </row>
    <row r="21" spans="2:12" ht="16" thickBot="1">
      <c r="B21" s="30"/>
      <c r="C21" s="30"/>
      <c r="D21" s="30"/>
      <c r="E21" s="30"/>
      <c r="F21" s="30"/>
      <c r="G21" s="116"/>
      <c r="H21" s="119"/>
      <c r="I21" s="232" t="str">
        <f>IF(K25="No","NSX-T Host Overlay Network - DHCP","NSX-T Host Overlay Network - Static IP Pool in NSX-T")</f>
        <v>NSX-T Host Overlay Network - DHCP</v>
      </c>
      <c r="J21" s="233"/>
      <c r="K21" s="233"/>
      <c r="L21" s="234"/>
    </row>
    <row r="22" spans="2:12" ht="14" thickBot="1">
      <c r="B22" s="30"/>
      <c r="C22" s="30"/>
      <c r="D22" s="30"/>
      <c r="E22" s="30"/>
      <c r="F22" s="30"/>
      <c r="G22" s="116"/>
      <c r="H22" s="119"/>
      <c r="I22" s="30"/>
      <c r="J22" s="30"/>
      <c r="K22" s="30"/>
      <c r="L22" s="30"/>
    </row>
    <row r="23" spans="2:12" ht="14" thickBot="1">
      <c r="B23" s="30"/>
      <c r="C23" s="30"/>
      <c r="D23" s="30"/>
      <c r="E23" s="30"/>
      <c r="F23" s="30"/>
      <c r="G23" s="116"/>
      <c r="H23" s="117"/>
      <c r="I23" s="145" t="s">
        <v>311</v>
      </c>
      <c r="J23" s="141">
        <v>1614</v>
      </c>
      <c r="K23" s="30"/>
      <c r="L23" s="30"/>
    </row>
    <row r="24" spans="2:12" s="30" customFormat="1" ht="14" thickBot="1">
      <c r="G24" s="116"/>
      <c r="H24" s="116"/>
      <c r="I24" s="116"/>
      <c r="J24" s="116"/>
    </row>
    <row r="25" spans="2:12" s="30" customFormat="1" ht="16" thickBot="1">
      <c r="G25" s="116"/>
      <c r="H25" s="116"/>
      <c r="I25" s="210" t="s">
        <v>312</v>
      </c>
      <c r="J25" s="211"/>
      <c r="K25" s="128" t="s">
        <v>313</v>
      </c>
    </row>
    <row r="26" spans="2:12" s="30" customFormat="1" ht="15">
      <c r="G26" s="116"/>
      <c r="H26" s="116"/>
      <c r="I26" s="129" t="s">
        <v>315</v>
      </c>
      <c r="J26" s="212" t="s">
        <v>316</v>
      </c>
      <c r="K26" s="213"/>
    </row>
    <row r="27" spans="2:12" s="30" customFormat="1" ht="16" thickBot="1">
      <c r="G27" s="116"/>
      <c r="H27" s="116"/>
      <c r="I27" s="131" t="s">
        <v>317</v>
      </c>
      <c r="J27" s="212" t="s">
        <v>318</v>
      </c>
      <c r="K27" s="214"/>
      <c r="L27" s="130"/>
    </row>
    <row r="28" spans="2:12" s="30" customFormat="1">
      <c r="G28" s="116"/>
      <c r="H28" s="116"/>
      <c r="I28" s="131" t="s">
        <v>27</v>
      </c>
      <c r="J28" s="132" t="s">
        <v>319</v>
      </c>
      <c r="K28" s="133" t="s">
        <v>4</v>
      </c>
      <c r="L28" s="134" t="s">
        <v>320</v>
      </c>
    </row>
    <row r="29" spans="2:12" s="30" customFormat="1" ht="14" thickBot="1">
      <c r="G29" s="116"/>
      <c r="H29" s="116"/>
      <c r="I29" s="135" t="s">
        <v>321</v>
      </c>
      <c r="J29" s="136" t="s">
        <v>322</v>
      </c>
      <c r="K29" s="137" t="s">
        <v>323</v>
      </c>
      <c r="L29" s="138" t="s">
        <v>324</v>
      </c>
    </row>
    <row r="30" spans="2:12" s="30" customFormat="1">
      <c r="H30" s="116"/>
    </row>
    <row r="31" spans="2:12" s="30" customFormat="1">
      <c r="H31" s="116"/>
      <c r="I31" s="116"/>
      <c r="J31" s="116"/>
    </row>
    <row r="32" spans="2:12" s="30" customFormat="1">
      <c r="H32" s="116"/>
      <c r="I32" s="116"/>
      <c r="J32" s="116"/>
    </row>
    <row r="33" s="30" customFormat="1"/>
    <row r="34" s="30" customFormat="1"/>
    <row r="35" s="30" customFormat="1"/>
    <row r="36" s="30" customFormat="1"/>
    <row r="37" s="30" customFormat="1"/>
    <row r="38" s="30" customFormat="1"/>
    <row r="39" s="30" customFormat="1"/>
    <row r="40" s="30" customFormat="1"/>
    <row r="41" s="30" customFormat="1"/>
    <row r="42" s="30" customFormat="1"/>
    <row r="43" s="30" customFormat="1"/>
    <row r="44" s="30" customFormat="1"/>
    <row r="45" s="30" customFormat="1"/>
    <row r="46" s="30" customFormat="1"/>
    <row r="47" s="30" customFormat="1"/>
    <row r="48" s="30" customFormat="1"/>
    <row r="49" s="30" customFormat="1"/>
    <row r="50" s="30" customFormat="1"/>
    <row r="51" s="30" customFormat="1"/>
    <row r="52" s="30" customFormat="1"/>
    <row r="53" s="30" customFormat="1"/>
    <row r="54" s="30" customFormat="1"/>
    <row r="55" s="30" customFormat="1"/>
    <row r="56" s="30" customFormat="1"/>
    <row r="57" s="30" customFormat="1"/>
    <row r="58" s="30" customFormat="1"/>
    <row r="59" s="30" customFormat="1"/>
    <row r="60" s="30" customFormat="1"/>
    <row r="61" s="30" customFormat="1"/>
    <row r="62" s="30" customFormat="1"/>
    <row r="63" s="30" customFormat="1"/>
    <row r="64" s="30" customFormat="1"/>
    <row r="65" spans="2:6" s="30" customFormat="1"/>
    <row r="66" spans="2:6" s="30" customFormat="1"/>
    <row r="67" spans="2:6" s="30" customFormat="1"/>
    <row r="68" spans="2:6" s="30" customFormat="1"/>
    <row r="69" spans="2:6" s="30" customFormat="1"/>
    <row r="70" spans="2:6" s="30" customFormat="1">
      <c r="B70" s="37"/>
      <c r="C70" s="37"/>
      <c r="D70" s="37"/>
      <c r="E70" s="37"/>
      <c r="F70" s="37"/>
    </row>
    <row r="71" spans="2:6" s="30" customFormat="1">
      <c r="B71" s="37"/>
      <c r="C71" s="37"/>
      <c r="D71" s="37"/>
      <c r="E71" s="37"/>
      <c r="F71" s="37"/>
    </row>
    <row r="72" spans="2:6" s="30" customFormat="1">
      <c r="B72" s="37"/>
      <c r="C72" s="37"/>
      <c r="D72" s="37"/>
      <c r="E72" s="37"/>
      <c r="F72" s="37"/>
    </row>
    <row r="73" spans="2:6" s="30" customFormat="1">
      <c r="B73" s="37"/>
      <c r="C73" s="37"/>
      <c r="D73" s="37"/>
      <c r="E73" s="37"/>
      <c r="F73" s="37"/>
    </row>
    <row r="74" spans="2:6" s="30" customFormat="1">
      <c r="B74" s="37"/>
      <c r="C74" s="37"/>
      <c r="D74" s="37"/>
      <c r="E74" s="37"/>
      <c r="F74" s="37"/>
    </row>
    <row r="75" spans="2:6" s="30" customFormat="1">
      <c r="B75" s="37"/>
      <c r="C75" s="37"/>
      <c r="D75" s="37"/>
      <c r="E75" s="37"/>
      <c r="F75" s="37"/>
    </row>
    <row r="76" spans="2:6" s="30" customFormat="1">
      <c r="B76" s="37"/>
      <c r="C76" s="37"/>
      <c r="D76" s="37"/>
      <c r="E76" s="37"/>
      <c r="F76" s="37"/>
    </row>
    <row r="77" spans="2:6" s="30" customFormat="1">
      <c r="B77" s="37"/>
      <c r="C77" s="37"/>
      <c r="D77" s="37"/>
      <c r="E77" s="37"/>
      <c r="F77" s="37"/>
    </row>
    <row r="78" spans="2:6" s="30" customFormat="1">
      <c r="B78" s="37"/>
      <c r="C78" s="37"/>
      <c r="D78" s="37"/>
      <c r="E78" s="37"/>
      <c r="F78" s="37"/>
    </row>
    <row r="79" spans="2:6" s="30" customFormat="1">
      <c r="B79" s="37"/>
      <c r="C79" s="37"/>
      <c r="D79" s="37"/>
      <c r="E79" s="37"/>
      <c r="F79" s="37"/>
    </row>
    <row r="80" spans="2:6" s="30" customFormat="1">
      <c r="B80" s="37"/>
      <c r="C80" s="37"/>
      <c r="D80" s="37"/>
      <c r="E80" s="37"/>
      <c r="F80" s="37"/>
    </row>
    <row r="81" spans="2:7" s="30" customFormat="1">
      <c r="B81" s="37"/>
      <c r="C81" s="37"/>
      <c r="D81" s="37"/>
      <c r="E81" s="37"/>
      <c r="F81" s="37"/>
    </row>
    <row r="82" spans="2:7" s="30" customFormat="1">
      <c r="B82" s="37"/>
      <c r="C82" s="37"/>
      <c r="D82" s="37"/>
      <c r="E82" s="37"/>
      <c r="F82" s="37"/>
      <c r="G82" s="37"/>
    </row>
    <row r="83" spans="2:7" s="30" customFormat="1">
      <c r="B83" s="37"/>
      <c r="C83" s="37"/>
      <c r="D83" s="37"/>
      <c r="E83" s="37"/>
      <c r="F83" s="37"/>
      <c r="G83" s="37"/>
    </row>
    <row r="84" spans="2:7" s="30" customFormat="1">
      <c r="B84" s="37"/>
      <c r="C84" s="37"/>
      <c r="D84" s="37"/>
      <c r="E84" s="37"/>
      <c r="F84" s="37"/>
      <c r="G84" s="37"/>
    </row>
  </sheetData>
  <sheetProtection sheet="1" objects="1" scenarios="1"/>
  <mergeCells count="36">
    <mergeCell ref="I21:L21"/>
    <mergeCell ref="J18:K18"/>
    <mergeCell ref="J19:K19"/>
    <mergeCell ref="J12:K12"/>
    <mergeCell ref="L12:M12"/>
    <mergeCell ref="J13:K13"/>
    <mergeCell ref="I25:J25"/>
    <mergeCell ref="J26:K26"/>
    <mergeCell ref="J27:K27"/>
    <mergeCell ref="B3:L3"/>
    <mergeCell ref="B5:G5"/>
    <mergeCell ref="E17:F17"/>
    <mergeCell ref="E18:F18"/>
    <mergeCell ref="E19:F19"/>
    <mergeCell ref="E20:F20"/>
    <mergeCell ref="B17:D17"/>
    <mergeCell ref="B18:D18"/>
    <mergeCell ref="B19:D19"/>
    <mergeCell ref="B20:D20"/>
    <mergeCell ref="J17:K17"/>
    <mergeCell ref="I5:L5"/>
    <mergeCell ref="B15:D15"/>
    <mergeCell ref="B12:D12"/>
    <mergeCell ref="B11:F11"/>
    <mergeCell ref="B13:D13"/>
    <mergeCell ref="E12:F12"/>
    <mergeCell ref="E13:F13"/>
    <mergeCell ref="B16:E16"/>
    <mergeCell ref="L13:M13"/>
    <mergeCell ref="J16:K16"/>
    <mergeCell ref="J14:K14"/>
    <mergeCell ref="L14:M14"/>
    <mergeCell ref="J15:K15"/>
    <mergeCell ref="L15:M15"/>
    <mergeCell ref="E15:F15"/>
    <mergeCell ref="E14:F14"/>
  </mergeCells>
  <conditionalFormatting sqref="C7:D7">
    <cfRule type="containsText" dxfId="106" priority="168" operator="containsText" text="n/a">
      <formula>NOT(ISERROR(SEARCH("n/a",C7)))</formula>
    </cfRule>
    <cfRule type="containsBlanks" dxfId="105" priority="171">
      <formula>LEN(TRIM(C7))=0</formula>
    </cfRule>
  </conditionalFormatting>
  <conditionalFormatting sqref="D8:D9">
    <cfRule type="containsText" dxfId="104" priority="162" operator="containsText" text="n/a">
      <formula>NOT(ISERROR(SEARCH("n/a",D8)))</formula>
    </cfRule>
    <cfRule type="containsBlanks" dxfId="103" priority="163">
      <formula>LEN(TRIM(D8))=0</formula>
    </cfRule>
  </conditionalFormatting>
  <conditionalFormatting sqref="E8:F8 G8:G9 L9 J9 C8:C9 J23 J16:K19">
    <cfRule type="containsBlanks" dxfId="102" priority="149">
      <formula>LEN(TRIM(C8))=0</formula>
    </cfRule>
  </conditionalFormatting>
  <conditionalFormatting sqref="I6">
    <cfRule type="expression" dxfId="101" priority="69">
      <formula>IF(I6&lt;&gt;"n/a",COUNTIF($I$6:$P$6,I6)&gt;1)</formula>
    </cfRule>
  </conditionalFormatting>
  <conditionalFormatting sqref="J6">
    <cfRule type="expression" dxfId="100" priority="68">
      <formula>IF(J6&lt;&gt;"n/a",COUNTIF($I$6:$P$6,J6)&gt;1)</formula>
    </cfRule>
  </conditionalFormatting>
  <conditionalFormatting sqref="K6">
    <cfRule type="expression" dxfId="99" priority="67">
      <formula>IF(K6&lt;&gt;"n/a",COUNTIF($I$6:$P$6,K6)&gt;1)</formula>
    </cfRule>
  </conditionalFormatting>
  <conditionalFormatting sqref="L6">
    <cfRule type="expression" dxfId="98" priority="66">
      <formula>IF(L6&lt;&gt;"n/a",COUNTIF($I$6:$P$6,L6)&gt;1)</formula>
    </cfRule>
  </conditionalFormatting>
  <conditionalFormatting sqref="I7">
    <cfRule type="expression" dxfId="97" priority="61">
      <formula>IF(I7&lt;&gt;"n/a",COUNTIF($I$7:$P$7,I7)&gt;1)</formula>
    </cfRule>
  </conditionalFormatting>
  <conditionalFormatting sqref="J7">
    <cfRule type="expression" dxfId="96" priority="60">
      <formula>IF(J7&lt;&gt;"n/a",COUNTIF($I$7:$P$7,J7)&gt;1)</formula>
    </cfRule>
  </conditionalFormatting>
  <conditionalFormatting sqref="K7">
    <cfRule type="expression" dxfId="95" priority="59">
      <formula>IF(K7&lt;&gt;"n/a",COUNTIF($I$7:$P$7,K7)&gt;1)</formula>
    </cfRule>
  </conditionalFormatting>
  <conditionalFormatting sqref="L7">
    <cfRule type="expression" dxfId="94" priority="58">
      <formula>IF(L7&lt;&gt;"n/a",COUNTIF($I$7:$P$7,L7)&gt;1)</formula>
    </cfRule>
  </conditionalFormatting>
  <conditionalFormatting sqref="G7">
    <cfRule type="cellIs" dxfId="93" priority="50" operator="lessThan">
      <formula>1500</formula>
    </cfRule>
    <cfRule type="containsBlanks" dxfId="92" priority="51">
      <formula>LEN(TRIM(G7))=0</formula>
    </cfRule>
  </conditionalFormatting>
  <conditionalFormatting sqref="B17:F20">
    <cfRule type="expression" dxfId="91" priority="17" stopIfTrue="1">
      <formula>$F$16="No"</formula>
    </cfRule>
  </conditionalFormatting>
  <conditionalFormatting sqref="E19:F19">
    <cfRule type="containsBlanks" dxfId="90" priority="28">
      <formula>LEN(TRIM(E19))=0</formula>
    </cfRule>
  </conditionalFormatting>
  <conditionalFormatting sqref="E20:F20">
    <cfRule type="containsBlanks" dxfId="89" priority="26">
      <formula>LEN(TRIM(E20))=0</formula>
    </cfRule>
  </conditionalFormatting>
  <conditionalFormatting sqref="E18:F18">
    <cfRule type="containsBlanks" dxfId="88" priority="25">
      <formula>LEN(TRIM(E18))=0</formula>
    </cfRule>
  </conditionalFormatting>
  <conditionalFormatting sqref="I12:M12 I16:K19">
    <cfRule type="expression" dxfId="87" priority="11">
      <formula>$K$11="No"</formula>
    </cfRule>
  </conditionalFormatting>
  <conditionalFormatting sqref="J13:M13">
    <cfRule type="containsBlanks" dxfId="86" priority="10">
      <formula>LEN(TRIM(J13))=0</formula>
    </cfRule>
  </conditionalFormatting>
  <conditionalFormatting sqref="I13:M13">
    <cfRule type="expression" dxfId="85" priority="9">
      <formula>$K$11="No"</formula>
    </cfRule>
  </conditionalFormatting>
  <conditionalFormatting sqref="I14">
    <cfRule type="expression" dxfId="84" priority="8">
      <formula>$K$11="No"</formula>
    </cfRule>
  </conditionalFormatting>
  <conditionalFormatting sqref="I15">
    <cfRule type="expression" dxfId="83" priority="7">
      <formula>$K$11="No"</formula>
    </cfRule>
  </conditionalFormatting>
  <conditionalFormatting sqref="J14:M14">
    <cfRule type="containsBlanks" dxfId="82" priority="6">
      <formula>LEN(TRIM(J14))=0</formula>
    </cfRule>
  </conditionalFormatting>
  <conditionalFormatting sqref="J14:M14">
    <cfRule type="expression" dxfId="81" priority="5">
      <formula>$K$11="No"</formula>
    </cfRule>
  </conditionalFormatting>
  <conditionalFormatting sqref="J15:M15">
    <cfRule type="containsBlanks" dxfId="80" priority="4">
      <formula>LEN(TRIM(J15))=0</formula>
    </cfRule>
  </conditionalFormatting>
  <conditionalFormatting sqref="J15:M15">
    <cfRule type="expression" dxfId="79" priority="3">
      <formula>$K$11="No"</formula>
    </cfRule>
  </conditionalFormatting>
  <conditionalFormatting sqref="I26:K27 I28:L29">
    <cfRule type="expression" dxfId="78" priority="864" stopIfTrue="1">
      <formula>$K$25="No"</formula>
    </cfRule>
  </conditionalFormatting>
  <conditionalFormatting sqref="B11:F13 B14:E14">
    <cfRule type="expression" dxfId="77" priority="1" stopIfTrue="1">
      <formula>$F$16="Yes"</formula>
    </cfRule>
  </conditionalFormatting>
  <conditionalFormatting sqref="J23">
    <cfRule type="duplicateValues" dxfId="76" priority="879"/>
  </conditionalFormatting>
  <conditionalFormatting sqref="E14:F14">
    <cfRule type="containsBlanks" dxfId="75" priority="2">
      <formula>LEN(TRIM(E14))=0</formula>
    </cfRule>
  </conditionalFormatting>
  <dataValidations count="10">
    <dataValidation type="custom" allowBlank="1" showInputMessage="1" showErrorMessage="1" errorTitle="Invalid IP Address" error="Please enter a valid IP Address" sqref="F7:F9 I7 K7:L7" xr:uid="{23E143A0-2EFB-0D47-B36F-9F76505C07C0}">
      <formula1>IF(ISNUMBER(VALUE(SUBSTITUTE(F7,".",""))),AND(--LEFT(F7,FIND(".",F7)-1)&lt;256,--MID(SUBSTITUTE(F7,".",REPT(" ",99)),99,99)&lt;256,--MID(SUBSTITUTE(F7,".",REPT(" ",99)),198,99)&lt;256,--RIGHT(SUBSTITUTE(F7,".",REPT(" ",99)),99)&lt;256),F7="n/a")</formula1>
    </dataValidation>
    <dataValidation type="custom" allowBlank="1" showInputMessage="1" showErrorMessage="1" errorTitle="Invalid IP Address " error="Please enter a valid IP Address" sqref="J7" xr:uid="{2201C015-0C68-7447-A064-B3C9A0A32B62}">
      <formula1>IF(ISNUMBER(VALUE(SUBSTITUTE(J7,".",""))),AND(--LEFT(J7,FIND(".",J7)-1)&lt;256,--MID(SUBSTITUTE(J7,".",REPT(" ",99)),99,99)&lt;256,--MID(SUBSTITUTE(J7,".",REPT(" ",99)),198,99)&lt;256,--RIGHT(SUBSTITUTE(J7,".",REPT(" ",99)),99)&lt;256),J7="n/a")</formula1>
    </dataValidation>
    <dataValidation type="custom" allowBlank="1" showInputMessage="1" showErrorMessage="1" errorTitle="Invalid IP Address" error="Please enter a valid IP Address" promptTitle="SDDC-DPortGroup-vMotion" prompt="Provide inclusion range" sqref="L8 J8" xr:uid="{BF263885-C7E6-5E42-9EBB-D726186E889B}">
      <formula1>IF(ISNUMBER(VALUE(SUBSTITUTE(J8,".",""))),AND(--LEFT(J8,FIND(".",J8)-1)&lt;256,--MID(SUBSTITUTE(J8,".",REPT(" ",99)),99,99)&lt;256,--MID(SUBSTITUTE(J8,".",REPT(" ",99)),198,99)&lt;256,--RIGHT(SUBSTITUTE(J8,".",REPT(" ",99)),99)&lt;256),J8="n/a")</formula1>
    </dataValidation>
    <dataValidation type="custom" allowBlank="1" showInputMessage="1" showErrorMessage="1" errorTitle="Invalid IP Address" error="Please enter a valid IP Address" promptTitle="SDDC-DPortGroup-VSAN" prompt="Provide inclusion range" sqref="L9 J9" xr:uid="{7292D99B-9BC6-2342-ABD5-7B36F3FE90FF}">
      <formula1>IF(ISNUMBER(VALUE(SUBSTITUTE(J9,".",""))),AND(--LEFT(J9,FIND(".",J9)-1)&lt;256,--MID(SUBSTITUTE(J9,".",REPT(" ",99)),99,99)&lt;256,--MID(SUBSTITUTE(J9,".",REPT(" ",99)),198,99)&lt;256,--RIGHT(SUBSTITUTE(J9,".",REPT(" ",99)),99)&lt;256),J9="n/a")</formula1>
    </dataValidation>
    <dataValidation allowBlank="1" showInputMessage="1" showErrorMessage="1" promptTitle="ESXi Hostname" prompt="The length of the ESXi hostname must not exceed 15 characters, this is to accomodate NetBIOS naming and allows for joining the system to an Active Directory Domain." sqref="I6:L6" xr:uid="{71937493-474A-EB40-8711-3D0BC5D7D435}"/>
    <dataValidation allowBlank="1" showInputMessage="1" showErrorMessage="1" promptTitle="ESXi Host Physical NICs" prompt="Enter the physical NICs (vmnic) of the ESXi hosts to be allocated to the vSphere Distributed Switch using comma seperated values with no spaces. E.g. vmnic0,vmnic1" sqref="E19:F19" xr:uid="{8C0B09A4-6A39-834E-8ECE-D5A39B827822}"/>
    <dataValidation allowBlank="1" showErrorMessage="1" sqref="E18:F18 E15:F15" xr:uid="{55416DCD-AB58-8547-8C15-49DA82C2ADAB}"/>
    <dataValidation type="list" allowBlank="1" showInputMessage="1" showErrorMessage="1" sqref="K25" xr:uid="{616F6215-0956-9D4C-A5E4-5280E1ED67D4}">
      <formula1>"No,Yes"</formula1>
    </dataValidation>
    <dataValidation type="list" allowBlank="1" showInputMessage="1" showErrorMessage="1" errorTitle="Invalid IP Address" error="Please enter a valid IP Address" promptTitle="Validate Thumbprints" prompt="Choosing not to validate the Thumbprints results in the initial connection  to not be trusted, subsequent communication is then trusted. To ensure all communication including the initial connection is trusted provide the SSH and SSL " sqref="K11" xr:uid="{D2EB632F-2576-484E-B3FA-8FBA2F6E6EE5}">
      <formula1>"Yes,No"</formula1>
    </dataValidation>
    <dataValidation type="list" allowBlank="1" showInputMessage="1" showErrorMessage="1" sqref="F16" xr:uid="{6ABDEB90-27E3-D248-B2C2-6B25317BF9BC}">
      <formula1>"Yes,No"</formula1>
    </dataValidation>
  </dataValidations>
  <pageMargins left="0.75" right="0.75" top="1" bottom="1" header="0.5" footer="0.5"/>
  <pageSetup orientation="portrait" horizontalDpi="4294967292" verticalDpi="4294967292"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35FB93-C096-974B-B184-F49A4B142290}">
  <sheetPr codeName="Sheet6"/>
  <dimension ref="A1:C22"/>
  <sheetViews>
    <sheetView topLeftCell="A5" workbookViewId="0">
      <selection activeCell="A14" sqref="A14"/>
    </sheetView>
  </sheetViews>
  <sheetFormatPr baseColWidth="10" defaultColWidth="11.5" defaultRowHeight="15"/>
  <cols>
    <col min="1" max="1" width="21.1640625" bestFit="1" customWidth="1"/>
    <col min="3" max="3" width="83.1640625" customWidth="1"/>
  </cols>
  <sheetData>
    <row r="1" spans="1:3">
      <c r="A1" s="108" t="s">
        <v>95</v>
      </c>
      <c r="C1" s="108" t="s">
        <v>291</v>
      </c>
    </row>
    <row r="2" spans="1:3" ht="80">
      <c r="A2" s="97" t="s">
        <v>5</v>
      </c>
      <c r="C2" s="13" t="str">
        <f>"vSphere Distributed Switch = One (1)          /          Physical NICs = Two (2)
Primary vDS - "&amp;'Hosts and Networks'!E13&amp;" (Created by VxRail Manager)
     - System Traffic (Management, vSAN, vMotion) e.g. "&amp;'Hosts and Networks'!G14&amp;"
     - Overlay Traffic (Host, Edge and Uplinks) e.g "&amp;'Hosts and Networks'!G14</f>
        <v>vSphere Distributed Switch = One (1)          /          Physical NICs = Two (2)
Primary vDS - sfo-m01-cl01-vds01 (Created by VxRail Manager)
     - System Traffic (Management, vSAN, vMotion) e.g. 0
     - Overlay Traffic (Host, Edge and Uplinks) e.g 0</v>
      </c>
    </row>
    <row r="3" spans="1:3" ht="96">
      <c r="A3" s="97" t="s">
        <v>96</v>
      </c>
      <c r="C3" s="13" t="str">
        <f>"vSphere Distributed Switch = One (1)          /          Physical NICs = Four (4)
Primary vDS - "&amp;'Hosts and Networks'!E13&amp;" (Created by VxRail Manager)
     - System Traffic (Management) e.g. "&amp;'Hosts and Networks'!G14&amp;"
     - vSAN, vMotion e.g. "&amp;'Hosts and Networks'!G15&amp;"
     - Overlay Traffic (Host, Edge and Uplinks) e.g. "&amp;'Hosts and Networks'!G14&amp;""</f>
        <v>vSphere Distributed Switch = One (1)          /          Physical NICs = Four (4)
Primary vDS - sfo-m01-cl01-vds01 (Created by VxRail Manager)
     - System Traffic (Management) e.g. 0
     - vSAN, vMotion e.g. 
     - Overlay Traffic (Host, Edge and Uplinks) e.g. 0</v>
      </c>
    </row>
    <row r="4" spans="1:3" ht="112">
      <c r="A4" s="97" t="s">
        <v>97</v>
      </c>
      <c r="C4" s="13" t="str">
        <f>"vSphere Distributed Switch = Two (2)          /          Physical NICs = Four (4)
Primary vDS - "&amp;'Hosts and Networks'!E13&amp;" (Created by VxRail Manager)
      - System Traffic (Management, vSAN, vMotion) e.g. "&amp;'Hosts and Networks'!G14&amp;"
Secondary vDS - "&amp;'Hosts and Networks'!E18&amp;" (Created by Cloud Builder)
     - Overlay Traffic (Host, Edge and Uplinks) e.g. "&amp;'Hosts and Networks'!G18</f>
        <v>vSphere Distributed Switch = Two (2)          /          Physical NICs = Four (4)
Primary vDS - sfo-m01-cl01-vds01 (Created by VxRail Manager)
      - System Traffic (Management, vSAN, vMotion) e.g. 0
Secondary vDS - sfo-m01-cl01-vds02 (Created by Cloud Builder)
     - Overlay Traffic (Host, Edge and Uplinks) e.g. vmnic4,vmnic5</v>
      </c>
    </row>
    <row r="5" spans="1:3" ht="128">
      <c r="A5" s="97" t="s">
        <v>98</v>
      </c>
      <c r="C5" s="13" t="str">
        <f>"vSphere Distributed Switch = Two (2)          /          Physical NICs = Six (6)
Primary vDS - "&amp;'Hosts and Networks'!E13&amp;" (Created by VxRail Manager)
     - System Traffic (Management) e.g. "&amp;'Hosts and Networks'!G14&amp;"
     - vSAN, vMotion e.g. "&amp;'Hosts and Networks'!G15&amp;"
Secondary vDS - "&amp;'Hosts and Networks'!E18&amp;" (Created by Cloud Builder)
     -  Overlay Traffic (Host, Edge and Uplinks) e.g. "&amp;'Hosts and Networks'!G18</f>
        <v>vSphere Distributed Switch = Two (2)          /          Physical NICs = Six (6)
Primary vDS - sfo-m01-cl01-vds01 (Created by VxRail Manager)
     - System Traffic (Management) e.g. 0
     - vSAN, vMotion e.g. 
Secondary vDS - sfo-m01-cl01-vds02 (Created by Cloud Builder)
     -  Overlay Traffic (Host, Edge and Uplinks) e.g. vmnic4,vmnic5</v>
      </c>
    </row>
    <row r="6" spans="1:3" ht="112">
      <c r="A6" s="97" t="s">
        <v>99</v>
      </c>
      <c r="C6" s="13" t="str">
        <f>"vSphere Distributed Switch = Two (2)          /          Physical NICs = Six (6)
Primary vDS - "&amp;'Hosts and Networks'!E13&amp;" (Created by VxRail Manager)
     - System Traffic (Management, vSAN, vMotion) e.g. "&amp;'Hosts and Networks'!E15&amp;"
Secondary vDS - "&amp;'Hosts and Networks'!E18&amp;" (Created by Cloud Builder)
     - Overlay Traffic (Host, Edge and Uplinks) e.g. "&amp;'Hosts and Networks'!E19</f>
        <v>vSphere Distributed Switch = Two (2)          /          Physical NICs = Six (6)
Primary vDS - sfo-m01-cl01-vds01 (Created by VxRail Manager)
     - System Traffic (Management, vSAN, vMotion) e.g. 
Secondary vDS - sfo-m01-cl01-vds02 (Created by Cloud Builder)
     - Overlay Traffic (Host, Edge and Uplinks) e.g. vmnic4,vmnic5</v>
      </c>
    </row>
    <row r="7" spans="1:3">
      <c r="A7" s="97" t="s">
        <v>100</v>
      </c>
    </row>
    <row r="8" spans="1:3">
      <c r="A8" s="97" t="s">
        <v>101</v>
      </c>
    </row>
    <row r="9" spans="1:3">
      <c r="A9" s="97" t="s">
        <v>102</v>
      </c>
    </row>
    <row r="10" spans="1:3">
      <c r="A10" s="97" t="s">
        <v>103</v>
      </c>
    </row>
    <row r="11" spans="1:3">
      <c r="A11" s="97" t="s">
        <v>104</v>
      </c>
    </row>
    <row r="12" spans="1:3" s="97" customFormat="1" ht="16">
      <c r="A12" s="13" t="s">
        <v>267</v>
      </c>
    </row>
    <row r="13" spans="1:3" s="97" customFormat="1" ht="16">
      <c r="A13" s="13" t="s">
        <v>358</v>
      </c>
    </row>
    <row r="14" spans="1:3">
      <c r="A14" s="97" t="s">
        <v>105</v>
      </c>
    </row>
    <row r="15" spans="1:3">
      <c r="A15" s="97" t="s">
        <v>106</v>
      </c>
    </row>
    <row r="16" spans="1:3">
      <c r="A16" s="97" t="s">
        <v>107</v>
      </c>
    </row>
    <row r="17" spans="1:1">
      <c r="A17" s="97" t="s">
        <v>108</v>
      </c>
    </row>
    <row r="18" spans="1:1">
      <c r="A18" s="97" t="s">
        <v>109</v>
      </c>
    </row>
    <row r="19" spans="1:1">
      <c r="A19" s="97" t="s">
        <v>110</v>
      </c>
    </row>
    <row r="20" spans="1:1">
      <c r="A20" s="97" t="s">
        <v>111</v>
      </c>
    </row>
    <row r="21" spans="1:1" s="97" customFormat="1">
      <c r="A21" s="97" t="s">
        <v>112</v>
      </c>
    </row>
    <row r="22" spans="1:1">
      <c r="A22" s="97" t="s">
        <v>357</v>
      </c>
    </row>
  </sheetData>
  <sheetProtection sheet="1" objects="1" scenarios="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pageSetUpPr fitToPage="1"/>
  </sheetPr>
  <dimension ref="B1:L43"/>
  <sheetViews>
    <sheetView showGridLines="0" zoomScale="130" zoomScaleNormal="130" zoomScalePageLayoutView="116" workbookViewId="0">
      <pane ySplit="4" topLeftCell="A5" activePane="bottomLeft" state="frozen"/>
      <selection pane="bottomLeft" activeCell="J14" sqref="J14"/>
    </sheetView>
  </sheetViews>
  <sheetFormatPr baseColWidth="10" defaultColWidth="9" defaultRowHeight="13"/>
  <cols>
    <col min="1" max="1" width="1.1640625" style="24" customWidth="1"/>
    <col min="2" max="2" width="3.33203125" style="24" customWidth="1"/>
    <col min="3" max="3" width="45.83203125" style="24" customWidth="1"/>
    <col min="4" max="4" width="1.6640625" style="24" customWidth="1"/>
    <col min="5" max="5" width="42.83203125" style="24" customWidth="1"/>
    <col min="6" max="6" width="16.83203125" style="24" customWidth="1"/>
    <col min="7" max="7" width="18.83203125" style="24" customWidth="1"/>
    <col min="8" max="8" width="2.83203125" style="24" customWidth="1"/>
    <col min="9" max="9" width="41.33203125" style="24" customWidth="1"/>
    <col min="10" max="10" width="16.83203125" style="24" customWidth="1"/>
    <col min="11" max="11" width="17.33203125" style="24" customWidth="1"/>
    <col min="12" max="16384" width="9" style="24"/>
  </cols>
  <sheetData>
    <row r="1" spans="2:11" ht="48" customHeight="1">
      <c r="B1" s="56"/>
      <c r="C1" s="57"/>
      <c r="E1" s="24" t="s">
        <v>1</v>
      </c>
    </row>
    <row r="2" spans="2:11" ht="3" customHeight="1" thickBot="1">
      <c r="B2" s="56"/>
      <c r="C2" s="57"/>
    </row>
    <row r="3" spans="2:11" ht="60" customHeight="1" thickBot="1">
      <c r="B3" s="237" t="s">
        <v>286</v>
      </c>
      <c r="C3" s="238"/>
      <c r="D3" s="238"/>
      <c r="E3" s="238"/>
      <c r="F3" s="238"/>
      <c r="G3" s="238"/>
      <c r="H3" s="239"/>
      <c r="I3" s="239"/>
      <c r="J3" s="239"/>
      <c r="K3" s="240"/>
    </row>
    <row r="4" spans="2:11" s="36" customFormat="1" ht="2" customHeight="1">
      <c r="B4" s="58"/>
      <c r="C4" s="58"/>
      <c r="I4" s="24"/>
      <c r="J4" s="24"/>
    </row>
    <row r="5" spans="2:11" s="36" customFormat="1" ht="20" customHeight="1">
      <c r="B5" s="52" t="s">
        <v>24</v>
      </c>
      <c r="C5" s="60"/>
      <c r="E5" s="40" t="s">
        <v>11</v>
      </c>
      <c r="F5" s="248" t="s">
        <v>10</v>
      </c>
      <c r="G5" s="249"/>
      <c r="H5" s="61"/>
      <c r="I5" s="62" t="s">
        <v>137</v>
      </c>
      <c r="J5" s="241" t="s">
        <v>10</v>
      </c>
      <c r="K5" s="242"/>
    </row>
    <row r="6" spans="2:11" s="36" customFormat="1" ht="15" customHeight="1">
      <c r="B6" s="53" t="str">
        <f>IF((AND(F6&lt;&gt;"",F7&lt;&gt;"",J6&lt;&gt;"")),"✓","")</f>
        <v>✓</v>
      </c>
      <c r="C6" s="36" t="s">
        <v>143</v>
      </c>
      <c r="E6" s="51" t="s">
        <v>29</v>
      </c>
      <c r="F6" s="201" t="s">
        <v>45</v>
      </c>
      <c r="G6" s="209"/>
      <c r="H6" s="64"/>
      <c r="I6" s="51" t="s">
        <v>59</v>
      </c>
      <c r="J6" s="243" t="s">
        <v>370</v>
      </c>
      <c r="K6" s="244"/>
    </row>
    <row r="7" spans="2:11" s="36" customFormat="1" ht="15" customHeight="1">
      <c r="B7" s="53" t="str">
        <f>IF((AND(F8&lt;&gt;"",F9&lt;&gt;"")),"✓","")</f>
        <v>✓</v>
      </c>
      <c r="C7" s="36" t="s">
        <v>17</v>
      </c>
      <c r="E7" s="51" t="s">
        <v>30</v>
      </c>
      <c r="F7" s="201" t="s">
        <v>5</v>
      </c>
      <c r="G7" s="209"/>
      <c r="H7" s="58"/>
    </row>
    <row r="8" spans="2:11" s="36" customFormat="1" ht="15" customHeight="1">
      <c r="E8" s="51" t="s">
        <v>25</v>
      </c>
      <c r="F8" s="201" t="s">
        <v>53</v>
      </c>
      <c r="G8" s="209"/>
      <c r="H8" s="58"/>
      <c r="I8" s="190" t="s">
        <v>89</v>
      </c>
      <c r="J8" s="202"/>
      <c r="K8" s="101" t="s">
        <v>91</v>
      </c>
    </row>
    <row r="9" spans="2:11" s="36" customFormat="1" ht="15" customHeight="1">
      <c r="E9" s="51" t="s">
        <v>26</v>
      </c>
      <c r="F9" s="201" t="s">
        <v>5</v>
      </c>
      <c r="G9" s="209"/>
      <c r="H9" s="58"/>
      <c r="I9" s="250" t="s">
        <v>384</v>
      </c>
      <c r="J9" s="251"/>
      <c r="K9" s="162" t="s">
        <v>313</v>
      </c>
    </row>
    <row r="10" spans="2:11" s="36" customFormat="1" ht="15" customHeight="1">
      <c r="H10" s="58"/>
    </row>
    <row r="11" spans="2:11" s="88" customFormat="1" ht="20" customHeight="1">
      <c r="B11" s="89" t="s">
        <v>69</v>
      </c>
      <c r="C11" s="90"/>
      <c r="E11" s="91" t="s">
        <v>69</v>
      </c>
      <c r="F11" s="248" t="s">
        <v>10</v>
      </c>
      <c r="G11" s="249"/>
    </row>
    <row r="12" spans="2:11" s="88" customFormat="1" ht="15" customHeight="1">
      <c r="B12" s="92" t="str">
        <f>IF((AND(F12&lt;&gt;"",G12&lt;&gt;"")),"✓","")</f>
        <v>✓</v>
      </c>
      <c r="C12" s="88" t="s">
        <v>144</v>
      </c>
      <c r="E12" s="85" t="s">
        <v>70</v>
      </c>
      <c r="F12" s="86" t="s">
        <v>269</v>
      </c>
      <c r="G12" s="87" t="s">
        <v>80</v>
      </c>
    </row>
    <row r="13" spans="2:11" s="88" customFormat="1" ht="15" customHeight="1"/>
    <row r="14" spans="2:11" s="88" customFormat="1" ht="20" customHeight="1">
      <c r="B14" s="89" t="s">
        <v>376</v>
      </c>
      <c r="C14" s="90"/>
      <c r="E14" s="115" t="s">
        <v>377</v>
      </c>
      <c r="F14" s="252" t="s">
        <v>16</v>
      </c>
      <c r="G14" s="202"/>
    </row>
    <row r="15" spans="2:11" s="88" customFormat="1" ht="15" customHeight="1">
      <c r="B15" s="53" t="str">
        <f>IF(F15&lt;&gt;"","✓","")</f>
        <v/>
      </c>
      <c r="C15" s="36" t="s">
        <v>378</v>
      </c>
      <c r="E15" s="115" t="s">
        <v>57</v>
      </c>
      <c r="F15" s="253"/>
      <c r="G15" s="202"/>
    </row>
    <row r="16" spans="2:11" s="88" customFormat="1" ht="15" customHeight="1">
      <c r="E16" s="115" t="s">
        <v>58</v>
      </c>
      <c r="F16" s="253"/>
      <c r="G16" s="202"/>
    </row>
    <row r="17" spans="2:12" s="88" customFormat="1" ht="15" customHeight="1">
      <c r="E17" s="115" t="s">
        <v>13</v>
      </c>
      <c r="F17" s="253"/>
      <c r="G17" s="202"/>
    </row>
    <row r="18" spans="2:12" s="88" customFormat="1" ht="15" customHeight="1">
      <c r="E18" s="115" t="s">
        <v>353</v>
      </c>
      <c r="F18" s="253"/>
      <c r="G18" s="202"/>
    </row>
    <row r="19" spans="2:12" s="88" customFormat="1" ht="15" customHeight="1">
      <c r="E19" s="115" t="s">
        <v>36</v>
      </c>
      <c r="F19" s="253"/>
      <c r="G19" s="202"/>
    </row>
    <row r="20" spans="2:12" s="88" customFormat="1" ht="15" customHeight="1"/>
    <row r="21" spans="2:12" s="36" customFormat="1" ht="20">
      <c r="B21" s="52" t="s">
        <v>12</v>
      </c>
      <c r="C21" s="59"/>
      <c r="E21" s="51" t="s">
        <v>13</v>
      </c>
      <c r="F21" s="50" t="s">
        <v>7</v>
      </c>
      <c r="G21" s="50" t="s">
        <v>0</v>
      </c>
      <c r="H21" s="64"/>
      <c r="I21" s="51" t="s">
        <v>147</v>
      </c>
      <c r="J21" s="257" t="s">
        <v>10</v>
      </c>
      <c r="K21" s="258"/>
    </row>
    <row r="22" spans="2:12" s="36" customFormat="1" ht="15" customHeight="1">
      <c r="B22" s="53" t="str">
        <f>IF(Credentials!C8&lt;&gt;"","✓","")</f>
        <v/>
      </c>
      <c r="C22" s="36" t="s">
        <v>378</v>
      </c>
      <c r="E22" s="51" t="s">
        <v>136</v>
      </c>
      <c r="F22" s="69" t="s">
        <v>270</v>
      </c>
      <c r="G22" s="65" t="s">
        <v>46</v>
      </c>
      <c r="H22" s="64"/>
      <c r="I22" s="51" t="s">
        <v>117</v>
      </c>
      <c r="J22" s="259" t="s">
        <v>116</v>
      </c>
      <c r="K22" s="260"/>
    </row>
    <row r="23" spans="2:12" s="36" customFormat="1" ht="15" customHeight="1">
      <c r="B23" s="54" t="str">
        <f>IF((AND(F22&lt;&gt;"",G22&lt;&gt;"")),"✓","")</f>
        <v>✓</v>
      </c>
      <c r="C23" s="36" t="s">
        <v>145</v>
      </c>
      <c r="F23" s="58"/>
      <c r="H23" s="58"/>
      <c r="I23" s="51" t="s">
        <v>118</v>
      </c>
      <c r="J23" s="259" t="s">
        <v>132</v>
      </c>
      <c r="K23" s="260"/>
    </row>
    <row r="24" spans="2:12" s="36" customFormat="1" ht="15" customHeight="1">
      <c r="B24" s="54" t="str">
        <f>IF((AND(J22&lt;&gt;"",J23&lt;&gt;"")),"✓","")</f>
        <v>✓</v>
      </c>
      <c r="C24" s="36" t="s">
        <v>146</v>
      </c>
      <c r="E24" s="51" t="s">
        <v>305</v>
      </c>
      <c r="F24" s="243" t="s">
        <v>306</v>
      </c>
      <c r="G24" s="226"/>
      <c r="H24" s="58"/>
    </row>
    <row r="25" spans="2:12" s="36" customFormat="1" ht="15" customHeight="1">
      <c r="B25" s="54" t="str">
        <f>IF((AND(F26&lt;&gt;"",F27&lt;&gt;"",F28&lt;&gt;"",F29&lt;&gt;"")),"✓","")</f>
        <v>✓</v>
      </c>
      <c r="C25" s="36" t="s">
        <v>148</v>
      </c>
      <c r="E25" s="51" t="s">
        <v>51</v>
      </c>
      <c r="F25" s="245" t="s">
        <v>10</v>
      </c>
      <c r="G25" s="246"/>
      <c r="I25" s="63" t="s">
        <v>177</v>
      </c>
      <c r="J25" s="245" t="s">
        <v>10</v>
      </c>
      <c r="K25" s="246"/>
    </row>
    <row r="26" spans="2:12" s="36" customFormat="1">
      <c r="B26" s="55" t="str">
        <f>IF(AND('Hosts and Networks'!E13&lt;&gt;"",'Hosts and Networks'!E16&lt;&gt;""),"✓","")</f>
        <v/>
      </c>
      <c r="C26" s="36" t="s">
        <v>149</v>
      </c>
      <c r="E26" s="51" t="s">
        <v>233</v>
      </c>
      <c r="F26" s="201" t="s">
        <v>258</v>
      </c>
      <c r="G26" s="254"/>
      <c r="H26" s="58"/>
      <c r="I26" s="51" t="s">
        <v>135</v>
      </c>
      <c r="J26" s="201" t="s">
        <v>278</v>
      </c>
      <c r="K26" s="247"/>
    </row>
    <row r="27" spans="2:12" s="36" customFormat="1" ht="15" customHeight="1">
      <c r="B27" s="55" t="str">
        <f>IF(AND(J26&lt;&gt;""),"✓","")</f>
        <v>✓</v>
      </c>
      <c r="C27" s="36" t="s">
        <v>150</v>
      </c>
      <c r="E27" s="51" t="s">
        <v>54</v>
      </c>
      <c r="F27" s="201" t="s">
        <v>259</v>
      </c>
      <c r="G27" s="254"/>
      <c r="H27" s="58"/>
    </row>
    <row r="28" spans="2:12" s="36" customFormat="1" ht="15" customHeight="1">
      <c r="E28" s="51" t="s">
        <v>55</v>
      </c>
      <c r="F28" s="201" t="s">
        <v>260</v>
      </c>
      <c r="G28" s="254"/>
      <c r="H28" s="58"/>
      <c r="I28" s="261" t="str">
        <f>IF(F24="Standard","You have selected the Standard Architecture, as a result VMware Cloud Builder will not create vSphere Resource Pools within the Management Domain","")</f>
        <v>You have selected the Standard Architecture, as a result VMware Cloud Builder will not create vSphere Resource Pools within the Management Domain</v>
      </c>
      <c r="J28" s="262"/>
      <c r="K28" s="262"/>
    </row>
    <row r="29" spans="2:12" s="36" customFormat="1" ht="15" customHeight="1">
      <c r="E29" s="51" t="s">
        <v>56</v>
      </c>
      <c r="F29" s="201" t="s">
        <v>261</v>
      </c>
      <c r="G29" s="254"/>
      <c r="H29" s="58"/>
      <c r="I29" s="262"/>
      <c r="J29" s="262"/>
      <c r="K29" s="262"/>
    </row>
    <row r="30" spans="2:12" s="36" customFormat="1" ht="15" customHeight="1">
      <c r="H30" s="58"/>
      <c r="I30" s="126"/>
      <c r="J30" s="126"/>
      <c r="K30" s="126"/>
    </row>
    <row r="31" spans="2:12" s="36" customFormat="1" ht="20" customHeight="1">
      <c r="B31" s="52" t="s">
        <v>353</v>
      </c>
      <c r="C31" s="59"/>
      <c r="E31" s="40" t="s">
        <v>173</v>
      </c>
      <c r="F31" s="50" t="s">
        <v>7</v>
      </c>
      <c r="G31" s="50" t="s">
        <v>0</v>
      </c>
      <c r="H31" s="66"/>
      <c r="I31" s="24"/>
      <c r="J31" s="24"/>
      <c r="K31" s="24"/>
    </row>
    <row r="32" spans="2:12" s="36" customFormat="1" ht="15" customHeight="1">
      <c r="B32" s="54" t="str">
        <f>IF((AND(F32&lt;&gt;"",F33&lt;&gt;"",F34&lt;&gt;"",F35&lt;&gt;"",G32&lt;&gt;"",G33&lt;&gt;"",G34&lt;&gt;"",G35&lt;&gt;"")),"✓","")</f>
        <v>✓</v>
      </c>
      <c r="C32" s="36" t="s">
        <v>234</v>
      </c>
      <c r="E32" s="51" t="s">
        <v>174</v>
      </c>
      <c r="F32" s="69" t="s">
        <v>271</v>
      </c>
      <c r="G32" s="65" t="s">
        <v>66</v>
      </c>
      <c r="H32" s="66"/>
      <c r="I32" s="24"/>
      <c r="J32" s="24"/>
      <c r="K32" s="24"/>
      <c r="L32" s="24"/>
    </row>
    <row r="33" spans="2:12" s="36" customFormat="1" ht="15" customHeight="1">
      <c r="E33" s="51" t="s">
        <v>139</v>
      </c>
      <c r="F33" s="112" t="s">
        <v>272</v>
      </c>
      <c r="G33" s="87" t="s">
        <v>178</v>
      </c>
      <c r="H33" s="67" t="b">
        <f>MID(G34,FIND(".",G34,FIND(".",G34,FIND(".",G34)+1)+1)+1,LEN(G34)-FIND(".",G34,FIND(".",G34,FIND(".",G34)+1)+1))-(MID(G33,FIND(".",G33,FIND(".",G33,FIND(".",G33)+1)+1)+1,LEN(G33)-FIND(".",G33,FIND(".",G33,FIND(".",G33)+1)+1))-1)&lt;3</f>
        <v>1</v>
      </c>
      <c r="I33" s="24"/>
      <c r="J33" s="24"/>
      <c r="K33" s="24"/>
      <c r="L33" s="24"/>
    </row>
    <row r="34" spans="2:12" s="36" customFormat="1" ht="15" customHeight="1">
      <c r="E34" s="51" t="s">
        <v>140</v>
      </c>
      <c r="F34" s="112" t="s">
        <v>273</v>
      </c>
      <c r="G34" s="87" t="s">
        <v>179</v>
      </c>
      <c r="H34" s="67"/>
      <c r="I34" s="24"/>
      <c r="J34" s="24"/>
      <c r="K34" s="24"/>
      <c r="L34" s="24"/>
    </row>
    <row r="35" spans="2:12" s="36" customFormat="1" ht="15" customHeight="1">
      <c r="E35" s="51" t="s">
        <v>141</v>
      </c>
      <c r="F35" s="112" t="s">
        <v>274</v>
      </c>
      <c r="G35" s="87" t="s">
        <v>180</v>
      </c>
      <c r="H35" s="67" t="e">
        <f>MID(#REF!,FIND(".",#REF!,FIND(".",#REF!,FIND(".",#REF!)+1)+1)+1,LEN(#REF!)-FIND(".",#REF!,FIND(".",#REF!,FIND(".",#REF!)+1)+1))-(MID(#REF!,FIND(".",#REF!,FIND(".",#REF!,FIND(".",#REF!)+1)+1)+1,LEN(#REF!)-FIND(".",#REF!,FIND(".",#REF!,FIND(".",#REF!)+1)+1))-1)&lt;((8-#REF!)*2)</f>
        <v>#REF!</v>
      </c>
      <c r="I35" s="24"/>
      <c r="J35" s="24"/>
      <c r="K35" s="24"/>
      <c r="L35" s="24"/>
    </row>
    <row r="36" spans="2:12" s="36" customFormat="1" ht="15" customHeight="1">
      <c r="E36" s="51" t="s">
        <v>176</v>
      </c>
      <c r="F36" s="112" t="s">
        <v>175</v>
      </c>
      <c r="H36" s="67"/>
      <c r="I36" s="24"/>
      <c r="J36" s="24"/>
      <c r="K36" s="24"/>
      <c r="L36" s="24"/>
    </row>
    <row r="37" spans="2:12" s="36" customFormat="1" ht="15" customHeight="1">
      <c r="H37" s="58"/>
      <c r="I37" s="24"/>
      <c r="J37" s="24"/>
      <c r="K37" s="24"/>
      <c r="L37" s="24"/>
    </row>
    <row r="38" spans="2:12" s="36" customFormat="1" ht="20" customHeight="1">
      <c r="B38" s="52" t="s">
        <v>36</v>
      </c>
      <c r="C38" s="59"/>
      <c r="E38" s="40" t="s">
        <v>36</v>
      </c>
      <c r="F38" s="245" t="s">
        <v>10</v>
      </c>
      <c r="G38" s="256"/>
      <c r="H38" s="58"/>
      <c r="I38" s="24"/>
      <c r="J38" s="24"/>
      <c r="K38" s="24"/>
      <c r="L38" s="24"/>
    </row>
    <row r="39" spans="2:12" ht="15" customHeight="1">
      <c r="B39" s="54" t="str">
        <f>IF((AND(F39&lt;&gt;"",F40&lt;&gt;"")),"✓","")</f>
        <v>✓</v>
      </c>
      <c r="C39" s="36" t="s">
        <v>235</v>
      </c>
      <c r="E39" s="51" t="s">
        <v>39</v>
      </c>
      <c r="F39" s="254" t="s">
        <v>257</v>
      </c>
      <c r="G39" s="254"/>
    </row>
    <row r="40" spans="2:12" ht="15" customHeight="1">
      <c r="E40" s="51" t="s">
        <v>40</v>
      </c>
      <c r="F40" s="255" t="s">
        <v>262</v>
      </c>
      <c r="G40" s="255"/>
    </row>
    <row r="41" spans="2:12" ht="15" customHeight="1"/>
    <row r="42" spans="2:12" ht="15" customHeight="1">
      <c r="E42" s="40" t="s">
        <v>248</v>
      </c>
      <c r="F42" s="201" t="s">
        <v>254</v>
      </c>
      <c r="G42" s="247"/>
    </row>
    <row r="43" spans="2:12" ht="15" customHeight="1"/>
  </sheetData>
  <sheetProtection sheet="1" objects="1" scenarios="1"/>
  <mergeCells count="33">
    <mergeCell ref="J21:K21"/>
    <mergeCell ref="J22:K22"/>
    <mergeCell ref="J23:K23"/>
    <mergeCell ref="F27:G27"/>
    <mergeCell ref="F29:G29"/>
    <mergeCell ref="F28:G28"/>
    <mergeCell ref="I28:K29"/>
    <mergeCell ref="F42:G42"/>
    <mergeCell ref="F11:G11"/>
    <mergeCell ref="F26:G26"/>
    <mergeCell ref="F40:G40"/>
    <mergeCell ref="F38:G38"/>
    <mergeCell ref="F39:G39"/>
    <mergeCell ref="F16:G16"/>
    <mergeCell ref="F17:G17"/>
    <mergeCell ref="F18:G18"/>
    <mergeCell ref="F19:G19"/>
    <mergeCell ref="B3:K3"/>
    <mergeCell ref="J5:K5"/>
    <mergeCell ref="J6:K6"/>
    <mergeCell ref="J25:K25"/>
    <mergeCell ref="J26:K26"/>
    <mergeCell ref="F5:G5"/>
    <mergeCell ref="F6:G6"/>
    <mergeCell ref="F7:G7"/>
    <mergeCell ref="F8:G8"/>
    <mergeCell ref="F9:G9"/>
    <mergeCell ref="I8:J8"/>
    <mergeCell ref="F25:G25"/>
    <mergeCell ref="F24:G24"/>
    <mergeCell ref="I9:J9"/>
    <mergeCell ref="F14:G14"/>
    <mergeCell ref="F15:G15"/>
  </mergeCells>
  <phoneticPr fontId="36" type="noConversion"/>
  <conditionalFormatting sqref="B42:B298 B5 B7 B21:B26 B31:B32 B39">
    <cfRule type="cellIs" dxfId="74" priority="561" operator="equal">
      <formula>"✓"</formula>
    </cfRule>
  </conditionalFormatting>
  <conditionalFormatting sqref="B26">
    <cfRule type="cellIs" dxfId="73" priority="532" operator="equal">
      <formula>"✓"</formula>
    </cfRule>
  </conditionalFormatting>
  <conditionalFormatting sqref="B6">
    <cfRule type="cellIs" dxfId="72" priority="516" operator="equal">
      <formula>"✓"</formula>
    </cfRule>
  </conditionalFormatting>
  <conditionalFormatting sqref="J26:K26 G22">
    <cfRule type="containsBlanks" dxfId="71" priority="451">
      <formula>LEN(TRIM(G22))=0</formula>
    </cfRule>
  </conditionalFormatting>
  <conditionalFormatting sqref="F7">
    <cfRule type="containsBlanks" dxfId="70" priority="173">
      <formula>LEN(TRIM(F7))=0</formula>
    </cfRule>
    <cfRule type="containsText" dxfId="69" priority="174" stopIfTrue="1" operator="containsText" text="n/a">
      <formula>NOT(ISERROR(SEARCH("n/a",F7)))</formula>
    </cfRule>
    <cfRule type="expression" dxfId="68" priority="444">
      <formula>IF(LEN(F7)-LEN(SUBSTITUTE(F7,".",""))=3,FALSE,TRUE)</formula>
    </cfRule>
  </conditionalFormatting>
  <conditionalFormatting sqref="F8 J22:J23">
    <cfRule type="containsText" dxfId="67" priority="172" operator="containsText" text="n/a">
      <formula>NOT(ISERROR(SEARCH("n/a",F8)))</formula>
    </cfRule>
    <cfRule type="containsBlanks" dxfId="66" priority="440">
      <formula>LEN(TRIM(F8))=0</formula>
    </cfRule>
  </conditionalFormatting>
  <conditionalFormatting sqref="F32">
    <cfRule type="containsText" dxfId="65" priority="423" operator="containsText" text="n/a">
      <formula>NOT(ISERROR(SEARCH("n/a",F32)))</formula>
    </cfRule>
    <cfRule type="containsBlanks" dxfId="64" priority="424">
      <formula>LEN(TRIM(F32))=0</formula>
    </cfRule>
  </conditionalFormatting>
  <conditionalFormatting sqref="F22">
    <cfRule type="expression" dxfId="63" priority="71">
      <formula>IF(ISNUMBER(FIND(".",F22)),IF((FIND(".",F22)-1)&gt;15,TRUE,),IF((LEN(F22))&gt;15,TRUE,))</formula>
    </cfRule>
    <cfRule type="containsText" dxfId="62" priority="419" operator="containsText" text="n/a">
      <formula>NOT(ISERROR(SEARCH("n/a",F22)))</formula>
    </cfRule>
    <cfRule type="containsBlanks" dxfId="61" priority="420">
      <formula>LEN(TRIM(F22))=0</formula>
    </cfRule>
  </conditionalFormatting>
  <conditionalFormatting sqref="F42:G42">
    <cfRule type="containsText" dxfId="60" priority="410" operator="containsText" text="n/a">
      <formula>NOT(ISERROR(SEARCH("n/a",F42)))</formula>
    </cfRule>
    <cfRule type="containsBlanks" dxfId="59" priority="411">
      <formula>LEN(TRIM(F42))=0</formula>
    </cfRule>
  </conditionalFormatting>
  <conditionalFormatting sqref="G32">
    <cfRule type="containsBlanks" dxfId="58" priority="402">
      <formula>LEN(TRIM(G32))=0</formula>
    </cfRule>
  </conditionalFormatting>
  <conditionalFormatting sqref="F9">
    <cfRule type="containsBlanks" dxfId="57" priority="170">
      <formula>LEN(TRIM(F9))=0</formula>
    </cfRule>
    <cfRule type="containsText" dxfId="56" priority="171" stopIfTrue="1" operator="containsText" text="n/a">
      <formula>NOT(ISERROR(SEARCH("n/a",F9)))</formula>
    </cfRule>
  </conditionalFormatting>
  <conditionalFormatting sqref="B38">
    <cfRule type="cellIs" dxfId="55" priority="250" operator="equal">
      <formula>"✓"</formula>
    </cfRule>
  </conditionalFormatting>
  <conditionalFormatting sqref="F6">
    <cfRule type="expression" dxfId="54" priority="175">
      <formula>IF(LEN(F6)-LEN(SUBSTITUTE(F6,".",""))=3,FALSE,TRUE)</formula>
    </cfRule>
    <cfRule type="containsText" dxfId="53" priority="229" operator="containsText" text="n/a">
      <formula>NOT(ISERROR(SEARCH("n/a",F6)))</formula>
    </cfRule>
    <cfRule type="containsBlanks" dxfId="52" priority="806">
      <formula>LEN(TRIM(F6))=0</formula>
    </cfRule>
  </conditionalFormatting>
  <conditionalFormatting sqref="J6:K6">
    <cfRule type="containsText" dxfId="51" priority="227" operator="containsText" text="n/a">
      <formula>NOT(ISERROR(SEARCH("n/a",J6)))</formula>
    </cfRule>
    <cfRule type="containsBlanks" dxfId="50" priority="228">
      <formula>LEN(TRIM(J6))=0</formula>
    </cfRule>
  </conditionalFormatting>
  <conditionalFormatting sqref="J26:K26">
    <cfRule type="top10" dxfId="49" priority="225" rank="10"/>
  </conditionalFormatting>
  <conditionalFormatting sqref="F26:G26">
    <cfRule type="containsText" dxfId="48" priority="224" operator="containsText" text="n/a">
      <formula>NOT(ISERROR(SEARCH("n/a",F26)))</formula>
    </cfRule>
    <cfRule type="containsBlanks" dxfId="47" priority="865">
      <formula>LEN(TRIM(F26))=0</formula>
    </cfRule>
  </conditionalFormatting>
  <conditionalFormatting sqref="F27:G27">
    <cfRule type="containsText" dxfId="46" priority="218" operator="containsText" text="n/a">
      <formula>NOT(ISERROR(SEARCH("n/a",F27)))</formula>
    </cfRule>
    <cfRule type="containsBlanks" dxfId="45" priority="223">
      <formula>LEN(TRIM(F27))=0</formula>
    </cfRule>
  </conditionalFormatting>
  <conditionalFormatting sqref="F40:G40 G32 G22">
    <cfRule type="duplicateValues" dxfId="44" priority="830"/>
  </conditionalFormatting>
  <conditionalFormatting sqref="F40:G40">
    <cfRule type="containsText" dxfId="43" priority="203" operator="containsText" text="n/a">
      <formula>NOT(ISERROR(SEARCH("n/a",F40)))</formula>
    </cfRule>
    <cfRule type="containsBlanks" dxfId="42" priority="204">
      <formula>LEN(TRIM(F40))=0</formula>
    </cfRule>
  </conditionalFormatting>
  <conditionalFormatting sqref="F39:G39 F32">
    <cfRule type="duplicateValues" dxfId="41" priority="201"/>
  </conditionalFormatting>
  <conditionalFormatting sqref="B11">
    <cfRule type="cellIs" dxfId="40" priority="193" operator="equal">
      <formula>"✓"</formula>
    </cfRule>
  </conditionalFormatting>
  <conditionalFormatting sqref="G12">
    <cfRule type="containsText" dxfId="39" priority="183" operator="containsText" text="n/a">
      <formula>NOT(ISERROR(SEARCH("n/a",G12)))</formula>
    </cfRule>
    <cfRule type="containsBlanks" dxfId="38" priority="188">
      <formula>LEN(TRIM(G12))=0</formula>
    </cfRule>
  </conditionalFormatting>
  <conditionalFormatting sqref="B12">
    <cfRule type="cellIs" dxfId="37" priority="182" operator="equal">
      <formula>"✓"</formula>
    </cfRule>
  </conditionalFormatting>
  <conditionalFormatting sqref="F12">
    <cfRule type="containsText" dxfId="36" priority="179" operator="containsText" text="n/a">
      <formula>NOT(ISERROR(SEARCH("n/a",F12)))</formula>
    </cfRule>
    <cfRule type="containsBlanks" dxfId="35" priority="180">
      <formula>LEN(TRIM(F12))=0</formula>
    </cfRule>
  </conditionalFormatting>
  <conditionalFormatting sqref="B13 B16:B20">
    <cfRule type="cellIs" dxfId="34" priority="97" operator="equal">
      <formula>"✓"</formula>
    </cfRule>
  </conditionalFormatting>
  <conditionalFormatting sqref="B27">
    <cfRule type="cellIs" dxfId="33" priority="96" operator="equal">
      <formula>"✓"</formula>
    </cfRule>
  </conditionalFormatting>
  <conditionalFormatting sqref="B27">
    <cfRule type="cellIs" dxfId="32" priority="95" operator="equal">
      <formula>"✓"</formula>
    </cfRule>
  </conditionalFormatting>
  <conditionalFormatting sqref="F33">
    <cfRule type="containsText" dxfId="31" priority="92" operator="containsText" text="n/a">
      <formula>NOT(ISERROR(SEARCH("n/a",F33)))</formula>
    </cfRule>
    <cfRule type="containsBlanks" dxfId="30" priority="93">
      <formula>LEN(TRIM(F33))=0</formula>
    </cfRule>
  </conditionalFormatting>
  <conditionalFormatting sqref="G33">
    <cfRule type="containsBlanks" dxfId="29" priority="91">
      <formula>LEN(TRIM(G33))=0</formula>
    </cfRule>
  </conditionalFormatting>
  <conditionalFormatting sqref="F34">
    <cfRule type="containsText" dxfId="28" priority="86" operator="containsText" text="n/a">
      <formula>NOT(ISERROR(SEARCH("n/a",F34)))</formula>
    </cfRule>
    <cfRule type="containsBlanks" dxfId="27" priority="87">
      <formula>LEN(TRIM(F34))=0</formula>
    </cfRule>
  </conditionalFormatting>
  <conditionalFormatting sqref="G34">
    <cfRule type="containsBlanks" dxfId="26" priority="85">
      <formula>LEN(TRIM(G34))=0</formula>
    </cfRule>
  </conditionalFormatting>
  <conditionalFormatting sqref="F35">
    <cfRule type="containsText" dxfId="25" priority="80" operator="containsText" text="n/a">
      <formula>NOT(ISERROR(SEARCH("n/a",F35)))</formula>
    </cfRule>
    <cfRule type="containsBlanks" dxfId="24" priority="81">
      <formula>LEN(TRIM(F35))=0</formula>
    </cfRule>
  </conditionalFormatting>
  <conditionalFormatting sqref="G35">
    <cfRule type="containsBlanks" dxfId="23" priority="79">
      <formula>LEN(TRIM(G35))=0</formula>
    </cfRule>
  </conditionalFormatting>
  <conditionalFormatting sqref="F39:G39 F32:F35 F22 F12">
    <cfRule type="duplicateValues" dxfId="22" priority="73"/>
  </conditionalFormatting>
  <conditionalFormatting sqref="F40:G40 G12 G22 G32:G35">
    <cfRule type="duplicateValues" dxfId="21" priority="72"/>
  </conditionalFormatting>
  <conditionalFormatting sqref="E25:G29">
    <cfRule type="expression" dxfId="20" priority="217" stopIfTrue="1">
      <formula>$F$24="Standard"</formula>
    </cfRule>
  </conditionalFormatting>
  <conditionalFormatting sqref="E24">
    <cfRule type="expression" dxfId="19" priority="5" stopIfTrue="1">
      <formula>#REF!="Standard"</formula>
    </cfRule>
  </conditionalFormatting>
  <conditionalFormatting sqref="B14">
    <cfRule type="cellIs" dxfId="18" priority="4" operator="equal">
      <formula>"✓"</formula>
    </cfRule>
  </conditionalFormatting>
  <conditionalFormatting sqref="F15:F19">
    <cfRule type="duplicateValues" dxfId="17" priority="2"/>
    <cfRule type="containsBlanks" dxfId="16" priority="3">
      <formula>LEN(TRIM(F15))=0</formula>
    </cfRule>
  </conditionalFormatting>
  <conditionalFormatting sqref="B15">
    <cfRule type="cellIs" dxfId="15" priority="1" operator="equal">
      <formula>"✓"</formula>
    </cfRule>
  </conditionalFormatting>
  <dataValidations count="10">
    <dataValidation type="custom" allowBlank="1" showInputMessage="1" showErrorMessage="1" errorTitle="Invalid IP Address" error="Please enter a valid IP Address" sqref="F6:F7 F40:G40 G32:G35" xr:uid="{23002188-381D-E54B-A80C-8131575E75A0}">
      <formula1>IF(ISNUMBER(VALUE(SUBSTITUTE(F6,".",""))),AND(--LEFT(F6,FIND(".",F6)-1)&lt;256,--MID(SUBSTITUTE(F6,".",REPT(" ",99)),99,99)&lt;256,--MID(SUBSTITUTE(F6,".",REPT(" ",99)),198,99)&lt;256,--RIGHT(SUBSTITUTE(F6,".",REPT(" ",99)),99)&lt;256),F6="n/a")</formula1>
    </dataValidation>
    <dataValidation type="custom" allowBlank="1" showInputMessage="1" showErrorMessage="1" errorTitle="Invalid IP Address" error="Please enter a valid IP Address" prompt="Data from VxRail configuration" sqref="G22" xr:uid="{0FBFC6E7-0268-1940-86D2-A6DC5AF6686B}">
      <formula1>IF(ISNUMBER(VALUE(SUBSTITUTE(G22,".",""))),AND(--LEFT(G22,FIND(".",G22)-1)&lt;256,--MID(SUBSTITUTE(G22,".",REPT(" ",99)),99,99)&lt;256,--MID(SUBSTITUTE(G22,".",REPT(" ",99)),198,99)&lt;256,--RIGHT(SUBSTITUTE(G22,".",REPT(" ",99)),99)&lt;256),G22="n/a")</formula1>
    </dataValidation>
    <dataValidation type="list" allowBlank="1" showInputMessage="1" showErrorMessage="1" promptTitle="FIPS" prompt="Setting value to YES instructs Cloud Builder to enable FIPS Security Mode on SDDC Manager." sqref="K9" xr:uid="{DA898E07-8A59-2940-A7D0-5221E881B8CA}">
      <formula1>"Yes,No"</formula1>
    </dataValidation>
    <dataValidation allowBlank="1" showInputMessage="1" showErrorMessage="1" promptTitle="NTP Server" prompt="Input can be either an IP Address (e.g. 172.16.11.253) or an FQDN (e.g. time.vmware.com)" sqref="F9" xr:uid="{EC42A79E-1624-A94B-9347-88D6899E96BB}"/>
    <dataValidation allowBlank="1" showInputMessage="1" showErrorMessage="1" promptTitle="NTP Server" prompt="Input value can be either an IP Address (e.g. 172.16.11.253) or an FQDN (e.g. time.vmware.com)" sqref="F8" xr:uid="{26B21EDE-0DEA-0B4E-AC66-5B72C59B69CD}"/>
    <dataValidation type="list" allowBlank="1" showInputMessage="1" showErrorMessage="1" sqref="F36" xr:uid="{D096898E-3CBD-9042-B235-F292517C1319}">
      <formula1>"small,medium,large"</formula1>
    </dataValidation>
    <dataValidation allowBlank="1" showInputMessage="1" showErrorMessage="1" promptTitle="ESXi Hostname" prompt="The length of the vCenter Server hostname must not exceed 15 characters, this is to accomodate NetBIOS naming and allows for joining the system to an Active Directory Domain." sqref="F22" xr:uid="{1ACCF5D6-596F-F649-9881-6D7E92F941B6}"/>
    <dataValidation type="list" allowBlank="1" showInputMessage="1" showErrorMessage="1" sqref="F24:G24" xr:uid="{3BB4A37F-98F6-7441-8048-51E7A95766EC}">
      <formula1>"Standard,Consolidated"</formula1>
    </dataValidation>
    <dataValidation type="list" allowBlank="1" showInputMessage="1" showErrorMessage="1" promptTitle="CEIP" prompt="Setting value to YES instructs Cloud Builder to enable VMware Customer Experience Improvement Program (&quot;CEIP&quot;) for vCenter Server, vSAN, NSX-T Data Center_x000a_." sqref="K8" xr:uid="{DEC47207-A1D3-C44A-BC51-2ED00BF48CB7}">
      <formula1>"Yes,No"</formula1>
    </dataValidation>
    <dataValidation type="custom" allowBlank="1" showInputMessage="1" showErrorMessage="1" errorTitle="Invalid License Key" error="Please enter a valid license key_x000a_xxxxx-xxxxx-xxxxx-xxxxx-xxxxx" sqref="F15:F19" xr:uid="{9703B06A-A0F4-3A49-B6B1-8082C792C4D7}">
      <formula1>AND(EXACT(F15,UPPER(F15)),LEN(F15)=29,6=FIND("-",F15),12=FIND("-",F15,FIND("-",F15)+1),18=FIND("-",F15,FIND("-",F15,FIND("-",F15)+1)+1),24=FIND("-",F15,FIND("-",F15,FIND("-",F15,FIND("-",F15)+1)+1)+1))</formula1>
    </dataValidation>
  </dataValidations>
  <printOptions horizontalCentered="1"/>
  <pageMargins left="0.5" right="0.5" top="0.5" bottom="0.5" header="0.25" footer="0.25"/>
  <pageSetup scale="39" orientation="portrait" r:id="rId1"/>
  <headerFooter alignWithMargins="0">
    <oddFooter>&amp;L&amp;8http://www.vertex42.com/ExcelTemplates/spring-cleaning-checklist.html</oddFooter>
  </headerFooter>
  <ignoredErrors>
    <ignoredError sqref="H35" evalError="1"/>
  </ignoredErrors>
  <drawing r:id="rId2"/>
  <extLst>
    <ext xmlns:x14="http://schemas.microsoft.com/office/spreadsheetml/2009/9/main" uri="{78C0D931-6437-407d-A8EE-F0AAD7539E65}">
      <x14:conditionalFormattings>
        <x14:conditionalFormatting xmlns:xm="http://schemas.microsoft.com/office/excel/2006/main">
          <x14:cfRule type="expression" priority="287" id="{494CDE26-026C-7F41-AC49-C9500C6F2880}">
            <xm:f>IF((LEFT(G22,FIND("~",SUBSTITUTE(G22,".","~",3))-1))=(LEFT('Hosts and Networks'!E7,FIND("~",SUBSTITUTE('Hosts and Networks'!E7,".","~",3))-1)),FALSE,TRUE)</xm:f>
            <x14:dxf>
              <font>
                <b/>
                <i val="0"/>
                <color rgb="FF9C0006"/>
              </font>
              <fill>
                <patternFill>
                  <bgColor theme="5" tint="0.59996337778862885"/>
                </patternFill>
              </fill>
            </x14:dxf>
          </x14:cfRule>
          <xm:sqref>G22</xm:sqref>
        </x14:conditionalFormatting>
        <x14:conditionalFormatting xmlns:xm="http://schemas.microsoft.com/office/excel/2006/main">
          <x14:cfRule type="expression" priority="282" id="{BBF81E8B-70EA-7346-AC07-791118679279}">
            <xm:f>IF((LEFT(G35,FIND("~",SUBSTITUTE(G35,".","~",3))-1))=(LEFT('Hosts and Networks'!E11,FIND("~",SUBSTITUTE('Hosts and Networks'!E11,".","~",3))-1)),FALSE,TRUE)</xm:f>
            <x14:dxf>
              <font>
                <b/>
                <i val="0"/>
                <color rgb="FF9C0006"/>
              </font>
              <fill>
                <patternFill>
                  <bgColor theme="5" tint="0.59996337778862885"/>
                </patternFill>
              </fill>
            </x14:dxf>
          </x14:cfRule>
          <xm:sqref>G32:G34</xm:sqref>
        </x14:conditionalFormatting>
        <x14:conditionalFormatting xmlns:xm="http://schemas.microsoft.com/office/excel/2006/main">
          <x14:cfRule type="expression" priority="202" id="{A15390DF-0388-EE45-9A60-A8A87F611E4E}">
            <xm:f>IF((LEFT(F40,FIND("~",SUBSTITUTE(F40,".","~",3))-1))=(LEFT('Hosts and Networks'!E7,FIND("~",SUBSTITUTE('Hosts and Networks'!E7,".","~",3))-1)),FALSE,TRUE)</xm:f>
            <x14:dxf>
              <font>
                <b/>
                <i val="0"/>
                <color rgb="FF9C0006"/>
              </font>
              <fill>
                <patternFill>
                  <bgColor theme="5" tint="0.59996337778862885"/>
                </patternFill>
              </fill>
            </x14:dxf>
          </x14:cfRule>
          <xm:sqref>F40:G40</xm:sqref>
        </x14:conditionalFormatting>
        <x14:conditionalFormatting xmlns:xm="http://schemas.microsoft.com/office/excel/2006/main">
          <x14:cfRule type="expression" priority="195" id="{546B9779-C1D5-F746-9DD5-A549D88411F5}">
            <xm:f>IF((LEFT(G12,FIND("~",SUBSTITUTE(G12,".","~",3))-1))=(LEFT('Hosts and Networks'!E7,FIND("~",SUBSTITUTE('Hosts and Networks'!E7,".","~",3))-1)),FALSE,TRUE)</xm:f>
            <x14:dxf>
              <font>
                <b/>
                <i val="0"/>
                <color rgb="FF9C0006"/>
              </font>
              <fill>
                <patternFill>
                  <bgColor theme="5" tint="0.59996337778862885"/>
                </patternFill>
              </fill>
            </x14:dxf>
          </x14:cfRule>
          <xm:sqref>G12</xm:sqref>
        </x14:conditionalFormatting>
        <x14:conditionalFormatting xmlns:xm="http://schemas.microsoft.com/office/excel/2006/main">
          <x14:cfRule type="expression" priority="877" id="{BBF81E8B-70EA-7346-AC07-791118679279}">
            <xm:f>IF((LEFT(#REF!,FIND("~",SUBSTITUTE(#REF!,".","~",3))-1))=(LEFT('Hosts and Networks'!E15,FIND("~",SUBSTITUTE('Hosts and Networks'!E15,".","~",3))-1)),FALSE,TRUE)</xm:f>
            <x14:dxf>
              <font>
                <b/>
                <i val="0"/>
                <color rgb="FF9C0006"/>
              </font>
              <fill>
                <patternFill>
                  <bgColor theme="5" tint="0.59996337778862885"/>
                </patternFill>
              </fill>
            </x14:dxf>
          </x14:cfRule>
          <xm:sqref>G35</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dimension ref="A1:B191"/>
  <sheetViews>
    <sheetView showZeros="0" zoomScale="129" zoomScaleNormal="130" zoomScalePageLayoutView="125" workbookViewId="0">
      <selection activeCell="B4" sqref="B4"/>
    </sheetView>
  </sheetViews>
  <sheetFormatPr baseColWidth="10" defaultColWidth="8.83203125" defaultRowHeight="15"/>
  <cols>
    <col min="1" max="1" width="120.6640625" style="1" customWidth="1"/>
    <col min="2" max="2" width="78.83203125" style="1" customWidth="1"/>
    <col min="3" max="16384" width="8.83203125" style="1"/>
  </cols>
  <sheetData>
    <row r="1" spans="1:2">
      <c r="A1" s="1" t="s">
        <v>33</v>
      </c>
    </row>
    <row r="2" spans="1:2">
      <c r="A2" s="5" t="str">
        <f>"workflowName.vcf-ems=workflowconfig/workflowspec-vxrail.json"</f>
        <v>workflowName.vcf-ems=workflowconfig/workflowspec-vxrail.json</v>
      </c>
      <c r="B2" s="2" t="s">
        <v>206</v>
      </c>
    </row>
    <row r="3" spans="1:2" s="2" customFormat="1">
      <c r="A3" s="4" t="str">
        <f>IF('Deploy Parameters'!K8="Yes","CeipEnabled=true","CeipEnabled=false")</f>
        <v>CeipEnabled=true</v>
      </c>
      <c r="B3" s="2" t="s">
        <v>207</v>
      </c>
    </row>
    <row r="4" spans="1:2" s="2" customFormat="1">
      <c r="A4" s="4" t="str">
        <f>(IF('Deploy Parameters'!K9="Yes","FipsEnabled=true","FipsEnabled=false"))</f>
        <v>FipsEnabled=false</v>
      </c>
      <c r="B4" s="2" t="s">
        <v>314</v>
      </c>
    </row>
    <row r="5" spans="1:2" s="8" customFormat="1">
      <c r="A5" s="5" t="str">
        <f>"workflowVersion.vcf-ems="&amp;RIGHT(Introduction!F3,5)</f>
        <v>workflowVersion.vcf-ems=4.3.0</v>
      </c>
      <c r="B5" s="2" t="s">
        <v>208</v>
      </c>
    </row>
    <row r="6" spans="1:2" s="8" customFormat="1">
      <c r="A6" s="6"/>
    </row>
    <row r="7" spans="1:2" s="2" customFormat="1">
      <c r="A7" s="2" t="s">
        <v>18</v>
      </c>
    </row>
    <row r="8" spans="1:2" s="2" customFormat="1">
      <c r="A8" s="2" t="s">
        <v>185</v>
      </c>
    </row>
    <row r="9" spans="1:2">
      <c r="A9" s="5" t="str">
        <f>IF('Deploy Parameters'!F8="n/a","ntp-server@address=","ntp-server@address="&amp;'Deploy Parameters'!F8)</f>
        <v>ntp-server@address=172.16.11.253</v>
      </c>
      <c r="B9" s="2" t="s">
        <v>184</v>
      </c>
    </row>
    <row r="10" spans="1:2">
      <c r="A10" s="5" t="str">
        <f>IF('Deploy Parameters'!F9="n/a","remote-site-ntp-server@address=","remote-site-ntp-server@address="&amp;'Deploy Parameters'!F9)</f>
        <v>remote-site-ntp-server@address=</v>
      </c>
      <c r="B10" s="2" t="s">
        <v>184</v>
      </c>
    </row>
    <row r="11" spans="1:2">
      <c r="A11" s="1" t="s">
        <v>42</v>
      </c>
    </row>
    <row r="12" spans="1:2">
      <c r="A12" s="5" t="str">
        <f>IF('Deploy Parameters'!J7="child","root-dns-records@zoneName="&amp;'Deploy Parameters'!#REF!,"root-dns-records@zoneName="&amp;'Deploy Parameters'!J6)</f>
        <v>root-dns-records@zoneName=sfo.rainpole.io</v>
      </c>
      <c r="B12" s="2" t="s">
        <v>186</v>
      </c>
    </row>
    <row r="13" spans="1:2">
      <c r="A13" s="5" t="str">
        <f>"managementNetwork.primaryDns="&amp;'Deploy Parameters'!F6</f>
        <v>managementNetwork.primaryDns=172.16.11.4</v>
      </c>
      <c r="B13" s="2" t="s">
        <v>187</v>
      </c>
    </row>
    <row r="14" spans="1:2">
      <c r="A14" s="5" t="str">
        <f>IF('Deploy Parameters'!J6="n/a","local-dns-records@zoneName="&amp;'Deploy Parameters'!J6,"local-dns-records@zoneName="&amp;'Deploy Parameters'!J6)</f>
        <v>local-dns-records@zoneName=sfo.rainpole.io</v>
      </c>
      <c r="B14" s="2" t="s">
        <v>188</v>
      </c>
    </row>
    <row r="15" spans="1:2">
      <c r="A15" s="5" t="str">
        <f>IF('Deploy Parameters'!F7="n/a","managementNetwork.secondaryDns=","managementNetwork.secondaryDns="&amp;'Deploy Parameters'!F7)</f>
        <v>managementNetwork.secondaryDns=</v>
      </c>
      <c r="B15" s="2" t="s">
        <v>189</v>
      </c>
    </row>
    <row r="16" spans="1:2">
      <c r="A16" s="6"/>
    </row>
    <row r="17" spans="1:2">
      <c r="A17" s="1" t="s">
        <v>38</v>
      </c>
    </row>
    <row r="18" spans="1:2" s="8" customFormat="1">
      <c r="A18" s="4" t="str">
        <f>IF('Deploy Parameters'!F19="n/a","sddc-manager-license@key=","sddc-manager-license@key="&amp;'Deploy Parameters'!F19)</f>
        <v>sddc-manager-license@key=</v>
      </c>
    </row>
    <row r="19" spans="1:2">
      <c r="A19" s="5" t="str">
        <f>"sddc-manager-root-credentials="&amp;Credentials!C18</f>
        <v>sddc-manager-root-credentials=</v>
      </c>
      <c r="B19" s="2" t="s">
        <v>190</v>
      </c>
    </row>
    <row r="20" spans="1:2">
      <c r="A20" s="5" t="str">
        <f>"sddc-manager-superuser-credentials="&amp;Credentials!C19</f>
        <v>sddc-manager-superuser-credentials=</v>
      </c>
      <c r="B20" s="2" t="s">
        <v>191</v>
      </c>
    </row>
    <row r="21" spans="1:2">
      <c r="A21" s="5" t="str">
        <f>"sddc-manager-localUser-credentials="&amp;Credentials!C20</f>
        <v>sddc-manager-localUser-credentials=</v>
      </c>
      <c r="B21" s="2" t="s">
        <v>303</v>
      </c>
    </row>
    <row r="22" spans="1:2">
      <c r="A22" s="5" t="str">
        <f>"sddcManagerIp.Address="&amp;'Deploy Parameters'!F40</f>
        <v>sddcManagerIp.Address=172.16.11.59</v>
      </c>
      <c r="B22" s="2" t="s">
        <v>192</v>
      </c>
    </row>
    <row r="23" spans="1:2">
      <c r="A23" s="5" t="str">
        <f>"sddcManager-deployment-vmname="&amp;'Deploy Parameters'!F39</f>
        <v>sddcManager-deployment-vmname=sfo-vcf01</v>
      </c>
      <c r="B23" s="2" t="s">
        <v>193</v>
      </c>
    </row>
    <row r="24" spans="1:2">
      <c r="A24" s="4" t="str">
        <f>IF('Deploy Parameters'!F42="n/a","sddcManager-mgmt-domainName=","sddcManager-mgmt-domainName="&amp;'Deploy Parameters'!F42)</f>
        <v>sddcManager-mgmt-domainName=sfo-m01</v>
      </c>
    </row>
    <row r="26" spans="1:2">
      <c r="A26" s="1" t="s">
        <v>194</v>
      </c>
    </row>
    <row r="27" spans="1:2">
      <c r="A27" s="5" t="str">
        <f>IF('Deploy Parameters'!F17="n/a","mgmt-vcenter-6-license@key=","mgmt-vcenter-6-license@key="&amp;'Deploy Parameters'!F17)</f>
        <v>mgmt-vcenter-6-license@key=</v>
      </c>
      <c r="B27" s="2" t="s">
        <v>195</v>
      </c>
    </row>
    <row r="28" spans="1:2">
      <c r="A28" s="5" t="str">
        <f>"vcenter-root-credentials@password="&amp;Credentials!C12</f>
        <v>vcenter-root-credentials@password=</v>
      </c>
      <c r="B28" s="2" t="s">
        <v>196</v>
      </c>
    </row>
    <row r="29" spans="1:2">
      <c r="A29" s="5" t="str">
        <f>"vcenterManagementIp.address="&amp;'Deploy Parameters'!G22</f>
        <v>vcenterManagementIp.address=172.16.11.62</v>
      </c>
      <c r="B29" s="2" t="s">
        <v>197</v>
      </c>
    </row>
    <row r="30" spans="1:2">
      <c r="A30" s="5" t="str">
        <f>"vcenter-mgmt-deployment-vmname="&amp;'Deploy Parameters'!F22</f>
        <v>vcenter-mgmt-deployment-vmname=sfo-m01-vc01</v>
      </c>
      <c r="B30" s="2" t="s">
        <v>198</v>
      </c>
    </row>
    <row r="31" spans="1:2">
      <c r="A31" s="1" t="s">
        <v>199</v>
      </c>
    </row>
    <row r="32" spans="1:2">
      <c r="A32" s="5" t="str">
        <f>"vcenter-admin-credentials@password="&amp;Credentials!C11</f>
        <v>vcenter-admin-credentials@password=</v>
      </c>
      <c r="B32" s="2" t="s">
        <v>200</v>
      </c>
    </row>
    <row r="33" spans="1:2">
      <c r="A33" s="7" t="str">
        <f>IF('Deploy Parameters'!F42="n/a","sso-site-name@value=","sso-site-name@value="&amp;'Deploy Parameters'!F42)</f>
        <v>sso-site-name@value=sfo-m01</v>
      </c>
      <c r="B33" s="2" t="s">
        <v>201</v>
      </c>
    </row>
    <row r="34" spans="1:2">
      <c r="A34" s="113"/>
    </row>
    <row r="35" spans="1:2">
      <c r="A35" s="1" t="s">
        <v>67</v>
      </c>
    </row>
    <row r="36" spans="1:2">
      <c r="A36" s="1" t="s">
        <v>68</v>
      </c>
    </row>
    <row r="37" spans="1:2">
      <c r="A37" s="5" t="str">
        <f>"region-a-sso-join=No"</f>
        <v>region-a-sso-join=No</v>
      </c>
    </row>
    <row r="38" spans="1:2">
      <c r="A38" s="5" t="str">
        <f>"region-a-psc-mgmt.address="</f>
        <v>region-a-psc-mgmt.address=</v>
      </c>
      <c r="B38" s="2" t="s">
        <v>181</v>
      </c>
    </row>
    <row r="39" spans="1:2">
      <c r="A39" s="5" t="str">
        <f>"region-a-vc-psc-username="</f>
        <v>region-a-vc-psc-username=</v>
      </c>
      <c r="B39" s="2" t="s">
        <v>182</v>
      </c>
    </row>
    <row r="40" spans="1:2">
      <c r="A40" s="5" t="str">
        <f>"region-a-vc-psc-password="</f>
        <v>region-a-vc-psc-password=</v>
      </c>
      <c r="B40" s="2" t="s">
        <v>183</v>
      </c>
    </row>
    <row r="41" spans="1:2">
      <c r="A41" s="6"/>
      <c r="B41" s="2"/>
    </row>
    <row r="42" spans="1:2">
      <c r="A42" s="1" t="s">
        <v>202</v>
      </c>
    </row>
    <row r="43" spans="1:2" s="8" customFormat="1">
      <c r="A43" s="4" t="str">
        <f>IF('Deploy Parameters'!F16="n/a","vsan-license@key=","vsan-license@key="&amp;'Deploy Parameters'!F16)</f>
        <v>vsan-license@key=</v>
      </c>
      <c r="B43" s="2" t="s">
        <v>203</v>
      </c>
    </row>
    <row r="44" spans="1:2">
      <c r="A44" s="7" t="str">
        <f>IF('Deploy Parameters'!J26="n/a","management-vsan-datastore-name@value=","management-vsan-datastore-name@value="&amp;'Deploy Parameters'!J26)</f>
        <v>management-vsan-datastore-name@value=VxRail-Virtual-SAN-Datastore</v>
      </c>
      <c r="B44" s="2" t="s">
        <v>204</v>
      </c>
    </row>
    <row r="46" spans="1:2">
      <c r="A46" s="1" t="s">
        <v>205</v>
      </c>
    </row>
    <row r="47" spans="1:2" s="2" customFormat="1">
      <c r="A47" s="2" t="s">
        <v>209</v>
      </c>
    </row>
    <row r="48" spans="1:2" s="2" customFormat="1">
      <c r="A48" s="4" t="str">
        <f>IF('Deploy Parameters'!F15="n/a","vcloud-suite-license@key=","vcloud-suite-license@key="&amp;'Deploy Parameters'!F15)</f>
        <v>vcloud-suite-license@key=</v>
      </c>
      <c r="B48" s="2" t="s">
        <v>210</v>
      </c>
    </row>
    <row r="49" spans="1:2">
      <c r="A49" s="1" t="s">
        <v>15</v>
      </c>
    </row>
    <row r="50" spans="1:2">
      <c r="A50" s="5" t="str">
        <f>"esxi.username="&amp;Credentials!B10</f>
        <v>esxi.username=root</v>
      </c>
      <c r="B50" s="2" t="s">
        <v>211</v>
      </c>
    </row>
    <row r="51" spans="1:2">
      <c r="A51" s="5" t="str">
        <f>"esxi.password="&amp;Credentials!C10</f>
        <v>esxi.password=</v>
      </c>
      <c r="B51" s="2" t="s">
        <v>212</v>
      </c>
    </row>
    <row r="52" spans="1:2">
      <c r="A52" s="1" t="s">
        <v>28</v>
      </c>
    </row>
    <row r="53" spans="1:2">
      <c r="A53" s="5" t="str">
        <f>IF('Hosts and Networks'!I7="n/a","esxi.mgmt-1.address=","esxi.mgmt-1.address="&amp;'Hosts and Networks'!I7)</f>
        <v>esxi.mgmt-1.address=172.16.11.101</v>
      </c>
      <c r="B53" s="2" t="s">
        <v>213</v>
      </c>
    </row>
    <row r="54" spans="1:2">
      <c r="A54" s="5" t="str">
        <f>IF('Hosts and Networks'!I6="n/a","esxi.mgmt-1.hostname=","esxi.mgmt-1.hostname="&amp;'Hosts and Networks'!I6)</f>
        <v>esxi.mgmt-1.hostname=sfo01-m01-esx01</v>
      </c>
      <c r="B54" s="2" t="s">
        <v>214</v>
      </c>
    </row>
    <row r="55" spans="1:2">
      <c r="A55" s="5" t="str">
        <f>IF('Hosts and Networks'!J7="n/a","esxi.mgmt-2.address=","esxi.mgmt-2.address="&amp;'Hosts and Networks'!J7)</f>
        <v>esxi.mgmt-2.address=172.16.11.102</v>
      </c>
      <c r="B55" s="2" t="s">
        <v>213</v>
      </c>
    </row>
    <row r="56" spans="1:2">
      <c r="A56" s="5" t="str">
        <f>IF('Hosts and Networks'!J6="n/a","esxi.mgmt-2.hostname=","esxi.mgmt-2.hostname="&amp;'Hosts and Networks'!J6)</f>
        <v>esxi.mgmt-2.hostname=sfo01-m01-esx02</v>
      </c>
      <c r="B56" s="2" t="s">
        <v>214</v>
      </c>
    </row>
    <row r="57" spans="1:2">
      <c r="A57" s="5" t="str">
        <f>IF('Hosts and Networks'!K7="n/a","esxi.mgmt-3.address=","esxi.mgmt-3.address="&amp;'Hosts and Networks'!K7)</f>
        <v>esxi.mgmt-3.address=172.16.11.103</v>
      </c>
      <c r="B57" s="2" t="s">
        <v>213</v>
      </c>
    </row>
    <row r="58" spans="1:2">
      <c r="A58" s="5" t="str">
        <f>IF('Hosts and Networks'!K6="n/a","esxi.mgmt-3.hostname=","esxi.mgmt-3.hostname="&amp;'Hosts and Networks'!K6)</f>
        <v>esxi.mgmt-3.hostname=sfo01-m01-esx03</v>
      </c>
      <c r="B58" s="2" t="s">
        <v>214</v>
      </c>
    </row>
    <row r="59" spans="1:2">
      <c r="A59" s="5" t="str">
        <f>IF('Hosts and Networks'!L7="n/a","esxi.mgmt-4.address=","esxi.mgmt-4.address="&amp;'Hosts and Networks'!L7)</f>
        <v>esxi.mgmt-4.address=172.16.11.104</v>
      </c>
      <c r="B59" s="2" t="s">
        <v>213</v>
      </c>
    </row>
    <row r="60" spans="1:2">
      <c r="A60" s="5" t="str">
        <f>IF('Hosts and Networks'!L6="n/a","esxi.mgmt-4.hostname=","esxi.mgmt-4.hostname="&amp;'Hosts and Networks'!L6)</f>
        <v>esxi.mgmt-4.hostname=sfo01-m01-esx04</v>
      </c>
      <c r="B60" s="2" t="s">
        <v>214</v>
      </c>
    </row>
    <row r="61" spans="1:2" s="6" customFormat="1">
      <c r="B61" s="8"/>
    </row>
    <row r="62" spans="1:2" s="6" customFormat="1">
      <c r="A62" s="2" t="s">
        <v>341</v>
      </c>
      <c r="B62" s="2"/>
    </row>
    <row r="63" spans="1:2" s="6" customFormat="1">
      <c r="A63" s="4" t="str">
        <f>IF('Hosts and Networks'!K11="Yes","skipThumbprintValidation=false",IF('Hosts and Networks'!K11="No","skipThumbprintValidation=true"))</f>
        <v>skipThumbprintValidation=false</v>
      </c>
      <c r="B63" s="2" t="s">
        <v>338</v>
      </c>
    </row>
    <row r="64" spans="1:2" s="6" customFormat="1">
      <c r="A64" s="2" t="s">
        <v>339</v>
      </c>
      <c r="B64" s="2"/>
    </row>
    <row r="65" spans="1:2" s="6" customFormat="1">
      <c r="A65" s="4" t="str">
        <f>IF('Hosts and Networks'!J14="n/a","vxrailManager.sshThumbprint=","vxrailManager.sshThumbprint="&amp;'Hosts and Networks'!J14)</f>
        <v>vxrailManager.sshThumbprint=</v>
      </c>
      <c r="B65" s="2"/>
    </row>
    <row r="66" spans="1:2" s="6" customFormat="1">
      <c r="A66" s="4" t="str">
        <f>IF('Hosts and Networks'!J15="n/a","vcenter.sshThumbprint=","vcenter.sshThumbprint="&amp;'Hosts and Networks'!J15)</f>
        <v>vcenter.sshThumbprint=</v>
      </c>
      <c r="B66" s="2"/>
    </row>
    <row r="67" spans="1:2" s="6" customFormat="1">
      <c r="A67" s="4" t="str">
        <f>IF('Hosts and Networks'!J16="n/a","esxi.mgmt-1.sshThumbprint=","esxi.mgmt-1.sshThumbprint="&amp;'Hosts and Networks'!J16)</f>
        <v>esxi.mgmt-1.sshThumbprint=</v>
      </c>
      <c r="B67" s="2"/>
    </row>
    <row r="68" spans="1:2" s="6" customFormat="1">
      <c r="A68" s="4" t="str">
        <f>IF('Hosts and Networks'!J17="n/a","esxi.mgmt-2.sshThumbprint=","esxi.mgmt-2.sshThumbprint="&amp;'Hosts and Networks'!J17)</f>
        <v>esxi.mgmt-2.sshThumbprint=</v>
      </c>
      <c r="B68" s="2"/>
    </row>
    <row r="69" spans="1:2" s="6" customFormat="1">
      <c r="A69" s="4" t="str">
        <f>IF('Hosts and Networks'!J18="n/a","esxi.mgmt-3.sshThumbprint=","esxi.mgmt-3.sshThumbprint="&amp;'Hosts and Networks'!J18)</f>
        <v>esxi.mgmt-3.sshThumbprint=</v>
      </c>
      <c r="B69" s="2"/>
    </row>
    <row r="70" spans="1:2" s="6" customFormat="1">
      <c r="A70" s="4" t="str">
        <f>IF('Hosts and Networks'!J19="n/a","esxi.mgmt-4.sshThumbprint=","esxi.mgmt-4.sshThumbprint="&amp;'Hosts and Networks'!J19)</f>
        <v>esxi.mgmt-4.sshThumbprint=</v>
      </c>
      <c r="B70" s="2"/>
    </row>
    <row r="71" spans="1:2" s="6" customFormat="1">
      <c r="A71" s="2" t="s">
        <v>340</v>
      </c>
      <c r="B71" s="2"/>
    </row>
    <row r="72" spans="1:2" s="6" customFormat="1">
      <c r="A72" s="4" t="str">
        <f>IF('Hosts and Networks'!L14="n/a","vxrailManager.sslThumbprint=","vxrailManager.sslThumbprint="&amp;'Hosts and Networks'!L14)</f>
        <v>vxrailManager.sslThumbprint=</v>
      </c>
      <c r="B72" s="2"/>
    </row>
    <row r="73" spans="1:2" s="6" customFormat="1">
      <c r="A73" s="4" t="str">
        <f>IF('Hosts and Networks'!L15="n/a","vcenter.sslThumbprint=","vcenter.sslThumbprint="&amp;'Hosts and Networks'!L15)</f>
        <v>vcenter.sslThumbprint=</v>
      </c>
      <c r="B73" s="2"/>
    </row>
    <row r="74" spans="1:2" s="6" customFormat="1">
      <c r="B74" s="8"/>
    </row>
    <row r="75" spans="1:2" s="6" customFormat="1">
      <c r="A75" s="6" t="s">
        <v>215</v>
      </c>
      <c r="B75" s="8"/>
    </row>
    <row r="76" spans="1:2">
      <c r="A76" s="5" t="str">
        <f>IF('Deploy Parameters'!J22="n/a","mgmt-datacenter-name=","mgmt-datacenter-name="&amp;'Deploy Parameters'!J22)</f>
        <v>mgmt-datacenter-name=VxRail-Datacenter</v>
      </c>
      <c r="B76" s="2" t="s">
        <v>216</v>
      </c>
    </row>
    <row r="77" spans="1:2">
      <c r="A77" s="5" t="str">
        <f>IF('Deploy Parameters'!J23="n/a","management-cluster-name=","management-cluster-name="&amp;'Deploy Parameters'!J23)</f>
        <v>management-cluster-name=VxRail-Virtual-SAN-Cluster</v>
      </c>
      <c r="B77" s="2" t="s">
        <v>217</v>
      </c>
    </row>
    <row r="78" spans="1:2">
      <c r="A78" s="1" t="s">
        <v>52</v>
      </c>
    </row>
    <row r="79" spans="1:2">
      <c r="A79" s="1" t="str">
        <f>IF('Deploy Parameters'!F24="Standard","skipResourcePoolCreation=true","skipResourcePoolCreation=false")</f>
        <v>skipResourcePoolCreation=true</v>
      </c>
    </row>
    <row r="80" spans="1:2">
      <c r="A80" s="11" t="str">
        <f>IF('Deploy Parameters'!F24="Standard","vsphere-resource-pools[1]=","vsphere-resource-pools[1]="&amp;'Deploy Parameters'!F26)</f>
        <v>vsphere-resource-pools[1]=</v>
      </c>
      <c r="B80" s="2" t="s">
        <v>218</v>
      </c>
    </row>
    <row r="81" spans="1:2">
      <c r="A81" s="11" t="str">
        <f>IF('Deploy Parameters'!F24="Standard","vsphere-resource-pools[2]=","vsphere-resource-pools[2]="&amp;'Deploy Parameters'!F27)</f>
        <v>vsphere-resource-pools[2]=</v>
      </c>
      <c r="B81" s="2" t="s">
        <v>218</v>
      </c>
    </row>
    <row r="82" spans="1:2">
      <c r="A82" s="11" t="str">
        <f>IF('Deploy Parameters'!F24="Standard","vsphere-resource-pools[3]=","vsphere-resource-pools[3]="&amp;'Deploy Parameters'!F28)</f>
        <v>vsphere-resource-pools[3]=</v>
      </c>
      <c r="B82" s="2" t="s">
        <v>218</v>
      </c>
    </row>
    <row r="83" spans="1:2">
      <c r="A83" s="11" t="str">
        <f>IF('Deploy Parameters'!F24="Standard","vsphere-resource-pools[4]=","vsphere-resource-pools[4]="&amp;'Deploy Parameters'!F29)</f>
        <v>vsphere-resource-pools[4]=</v>
      </c>
      <c r="B83" s="2" t="s">
        <v>218</v>
      </c>
    </row>
    <row r="84" spans="1:2" s="6" customFormat="1">
      <c r="B84" s="8"/>
    </row>
    <row r="85" spans="1:2" s="6" customFormat="1">
      <c r="A85" s="6" t="s">
        <v>294</v>
      </c>
      <c r="B85" s="2"/>
    </row>
    <row r="86" spans="1:2">
      <c r="A86" s="9" t="str">
        <f>IF('Hosts and Networks'!F16="Yes","vds-primary-switchName=","vds-primary-switchName="&amp;'Hosts and Networks'!E13)</f>
        <v>vds-primary-switchName=sfo-m01-cl01-vds01</v>
      </c>
      <c r="B86" s="2" t="s">
        <v>365</v>
      </c>
    </row>
    <row r="87" spans="1:2">
      <c r="A87" s="11" t="str">
        <f>IF('Hosts and Networks'!E14="n/a","vds-primary-vmnics=","vds-primary-vmnics="&amp;'Hosts and Networks'!E14)</f>
        <v>vds-primary-vmnics=vmnic0,vmnic1</v>
      </c>
      <c r="B87" s="2" t="s">
        <v>366</v>
      </c>
    </row>
    <row r="88" spans="1:2">
      <c r="A88" s="9" t="str">
        <f>IF('Hosts and Networks'!F16="No","vds-secondary-switchName=","vds-secondary-switchName="&amp;'Hosts and Networks'!E18)</f>
        <v>vds-secondary-switchName=</v>
      </c>
      <c r="B88" s="2" t="s">
        <v>365</v>
      </c>
    </row>
    <row r="89" spans="1:2">
      <c r="A89" s="9" t="str">
        <f>IF('Hosts and Networks'!F16="No","vds-secondary-vmnics=","vds-secondary-vmnics="&amp;'Hosts and Networks'!E19)</f>
        <v>vds-secondary-vmnics=</v>
      </c>
      <c r="B89" s="2" t="s">
        <v>366</v>
      </c>
    </row>
    <row r="90" spans="1:2" s="6" customFormat="1">
      <c r="A90" s="9" t="str">
        <f>IF('Hosts and Networks'!F16="No","vds-secondary-mtu=","vds-secondary-mtu="&amp;'Hosts and Networks'!E20)</f>
        <v>vds-secondary-mtu=</v>
      </c>
      <c r="B90" s="2" t="s">
        <v>227</v>
      </c>
    </row>
    <row r="91" spans="1:2" s="6" customFormat="1">
      <c r="A91" s="9" t="str">
        <f>IF('Hosts and Networks'!F16="No","overlayVdsEnabled=false","overlayVdsEnabled=true")</f>
        <v>overlayVdsEnabled=false</v>
      </c>
      <c r="B91" s="2"/>
    </row>
    <row r="92" spans="1:2" s="6" customFormat="1">
      <c r="B92" s="2"/>
    </row>
    <row r="93" spans="1:2" s="6" customFormat="1">
      <c r="A93" s="6" t="s">
        <v>219</v>
      </c>
      <c r="B93" s="2"/>
    </row>
    <row r="94" spans="1:2">
      <c r="A94" s="5" t="str">
        <f>"managementNetwork.cidrNotation="&amp;'Hosts and Networks'!E7</f>
        <v>managementNetwork.cidrNotation=172.16.11.0/24</v>
      </c>
      <c r="B94" s="2" t="s">
        <v>220</v>
      </c>
    </row>
    <row r="95" spans="1:2">
      <c r="A95" s="5" t="str">
        <f>IF('Hosts and Networks'!F7="n/a","managementNetwork.gateway=","managementNetwork.gateway="&amp;'Hosts and Networks'!F7)</f>
        <v xml:space="preserve">managementNetwork.gateway=172.16.11.253 </v>
      </c>
      <c r="B95" s="2" t="s">
        <v>221</v>
      </c>
    </row>
    <row r="96" spans="1:2">
      <c r="A96" s="5" t="str">
        <f>"vlan-mgmt-management.vlanId="&amp;'Hosts and Networks'!C7</f>
        <v>vlan-mgmt-management.vlanId=1611</v>
      </c>
      <c r="B96" s="2" t="s">
        <v>222</v>
      </c>
    </row>
    <row r="97" spans="1:2">
      <c r="A97" s="5" t="str">
        <f>"vlan-mgmt-management-mtu@mtu="&amp;'Hosts and Networks'!G7</f>
        <v>vlan-mgmt-management-mtu@mtu=1500</v>
      </c>
      <c r="B97" s="2" t="s">
        <v>223</v>
      </c>
    </row>
    <row r="98" spans="1:2">
      <c r="A98" s="5" t="str">
        <f>IF('Hosts and Networks'!D7="n/a","vds-management-initial-configuration@dvPortGroups[1].name=","vds-management-initial-configuration@dvPortGroups[1].name="&amp;'Hosts and Networks'!D7)</f>
        <v>vds-management-initial-configuration@dvPortGroups[1].name=vCenter Server Network-*</v>
      </c>
      <c r="B98" s="2" t="s">
        <v>224</v>
      </c>
    </row>
    <row r="99" spans="1:2" s="6" customFormat="1">
      <c r="B99" s="2"/>
    </row>
    <row r="100" spans="1:2" s="6" customFormat="1">
      <c r="A100" s="6" t="s">
        <v>225</v>
      </c>
      <c r="B100" s="2"/>
    </row>
    <row r="101" spans="1:2">
      <c r="A101" s="5" t="str">
        <f>IF('Hosts and Networks'!E9="n/a","mgmtVsanNetwork.cidrNotation=","mgmtVsanNetwork.cidrNotation="&amp;'Hosts and Networks'!E9)</f>
        <v>mgmtVsanNetwork.cidrNotation=</v>
      </c>
      <c r="B101" s="2" t="s">
        <v>220</v>
      </c>
    </row>
    <row r="102" spans="1:2">
      <c r="A102" s="5" t="str">
        <f>IF('Hosts and Networks'!F9="n/a","mgmtVsanNetwork.gateway=","mgmtVsanNetwork.gateway="&amp;'Hosts and Networks'!F9)</f>
        <v>mgmtVsanNetwork.gateway=</v>
      </c>
      <c r="B102" s="2" t="s">
        <v>221</v>
      </c>
    </row>
    <row r="103" spans="1:2">
      <c r="A103" s="5" t="str">
        <f>IF('Hosts and Networks'!C9="n/a","vlan-management-vsan.vlanId=","vlan-management-vsan.vlanId="&amp;'Hosts and Networks'!C9)</f>
        <v>vlan-management-vsan.vlanId=1613</v>
      </c>
      <c r="B103" s="2" t="s">
        <v>222</v>
      </c>
    </row>
    <row r="104" spans="1:2" s="2" customFormat="1">
      <c r="A104" s="4" t="str">
        <f>IF('Hosts and Networks'!G9="n/a","vlan-management-vsan-mtu@mtu=","vlan-management-vsan-mtu@mtu="&amp;'Hosts and Networks'!G9)</f>
        <v>vlan-management-vsan-mtu@mtu=</v>
      </c>
      <c r="B104" s="2" t="s">
        <v>223</v>
      </c>
    </row>
    <row r="105" spans="1:2">
      <c r="A105" s="5" t="str">
        <f>IF('Hosts and Networks'!D9="n/a","vds-management-initial-configuration@dvPortGroups[2].name=","vds-management-initial-configuration@dvPortGroups[2].name="&amp;'Hosts and Networks'!D9)</f>
        <v>vds-management-initial-configuration@dvPortGroups[2].name=Virtual SAN-</v>
      </c>
      <c r="B105" s="2" t="s">
        <v>224</v>
      </c>
    </row>
    <row r="106" spans="1:2" s="6" customFormat="1">
      <c r="B106" s="2"/>
    </row>
    <row r="107" spans="1:2" s="6" customFormat="1">
      <c r="A107" s="6" t="s">
        <v>226</v>
      </c>
      <c r="B107" s="2"/>
    </row>
    <row r="108" spans="1:2">
      <c r="A108" s="5" t="str">
        <f>IF('Hosts and Networks'!E8="n/a","mgmtVmotionNetwork.cidrNotation=","mgmtVmotionNetwork.cidrNotation="&amp;'Hosts and Networks'!E8)</f>
        <v>mgmtVmotionNetwork.cidrNotation=</v>
      </c>
      <c r="B108" s="2" t="s">
        <v>220</v>
      </c>
    </row>
    <row r="109" spans="1:2">
      <c r="A109" s="5" t="str">
        <f>IF('Hosts and Networks'!F8="n/a","mgmtVmotionNetwork.gateway=","mgmtVmotionNetwork.gateway="&amp;'Hosts and Networks'!F8)</f>
        <v>mgmtVmotionNetwork.gateway=</v>
      </c>
      <c r="B109" s="2" t="s">
        <v>221</v>
      </c>
    </row>
    <row r="110" spans="1:2">
      <c r="A110" s="5" t="str">
        <f>IF('Hosts and Networks'!C8="n/a","vlan-management-vmotion.vlanId=","vlan-management-vmotion.vlanId="&amp;'Hosts and Networks'!C8)</f>
        <v>vlan-management-vmotion.vlanId=1612</v>
      </c>
      <c r="B110" s="2" t="s">
        <v>222</v>
      </c>
    </row>
    <row r="111" spans="1:2" s="2" customFormat="1">
      <c r="A111" s="4" t="str">
        <f>IF('Hosts and Networks'!G8="n/a","vlan-management-vmotion-mtu@mtu=","vlan-management-vmotion-mtu@mtu="&amp;'Hosts and Networks'!G8)</f>
        <v>vlan-management-vmotion-mtu@mtu=</v>
      </c>
      <c r="B111" s="2" t="s">
        <v>223</v>
      </c>
    </row>
    <row r="112" spans="1:2">
      <c r="A112" s="5" t="str">
        <f>IF('Hosts and Networks'!D8="n/a","vds-management-initial-configuration@dvPortGroups[3].name=","vds-management-initial-configuration@dvPortGroups[3].name="&amp;'Hosts and Networks'!D8)</f>
        <v>vds-management-initial-configuration@dvPortGroups[3].name=vSphere vMotion-*</v>
      </c>
      <c r="B112" s="2" t="s">
        <v>224</v>
      </c>
    </row>
    <row r="113" spans="1:2" s="6" customFormat="1">
      <c r="B113" s="2"/>
    </row>
    <row r="114" spans="1:2">
      <c r="A114" s="1" t="s">
        <v>41</v>
      </c>
    </row>
    <row r="115" spans="1:2">
      <c r="A115" s="5" t="str">
        <f>IF('Hosts and Networks'!J8="n/a","inclusion-range-start-vmotion01=","inclusion-range-start-vmotion01="&amp;'Hosts and Networks'!J8)</f>
        <v>inclusion-range-start-vmotion01=</v>
      </c>
      <c r="B115" s="2" t="s">
        <v>228</v>
      </c>
    </row>
    <row r="116" spans="1:2">
      <c r="A116" s="5" t="str">
        <f>IF('Hosts and Networks'!L8="n/a","inclusion-range-end-vmotion01=","inclusion-range-end-vmotion01="&amp;'Hosts and Networks'!L8)</f>
        <v>inclusion-range-end-vmotion01=</v>
      </c>
      <c r="B116" s="2" t="s">
        <v>228</v>
      </c>
    </row>
    <row r="117" spans="1:2">
      <c r="A117" s="5" t="str">
        <f>"inclusion-range-start-vmotion02="</f>
        <v>inclusion-range-start-vmotion02=</v>
      </c>
      <c r="B117" s="2" t="s">
        <v>228</v>
      </c>
    </row>
    <row r="118" spans="1:2">
      <c r="A118" s="5" t="str">
        <f>"inclusion-range-end-vmotion02="</f>
        <v>inclusion-range-end-vmotion02=</v>
      </c>
      <c r="B118" s="2" t="s">
        <v>228</v>
      </c>
    </row>
    <row r="119" spans="1:2">
      <c r="A119" s="5" t="str">
        <f>"inclusion-ips-vmotion="</f>
        <v>inclusion-ips-vmotion=</v>
      </c>
      <c r="B119" s="2"/>
    </row>
    <row r="120" spans="1:2">
      <c r="A120" s="5" t="str">
        <f>IF('Hosts and Networks'!J9="n/a","inclusion-range-start-vsan01=","inclusion-range-start-vsan01="&amp;'Hosts and Networks'!J9)</f>
        <v>inclusion-range-start-vsan01=</v>
      </c>
      <c r="B120" s="2" t="s">
        <v>228</v>
      </c>
    </row>
    <row r="121" spans="1:2">
      <c r="A121" s="5" t="str">
        <f>IF('Hosts and Networks'!L9="n/a","inclusion-range-end-vsan01=","inclusion-range-end-vsan01="&amp;'Hosts and Networks'!L9)</f>
        <v>inclusion-range-end-vsan01=</v>
      </c>
      <c r="B121" s="2" t="s">
        <v>228</v>
      </c>
    </row>
    <row r="122" spans="1:2">
      <c r="A122" s="5" t="str">
        <f>"inclusion-range-start-vsan02="</f>
        <v>inclusion-range-start-vsan02=</v>
      </c>
      <c r="B122" s="2" t="s">
        <v>228</v>
      </c>
    </row>
    <row r="123" spans="1:2">
      <c r="A123" s="5" t="str">
        <f>"inclusion-range-end-vsan02="</f>
        <v>inclusion-range-end-vsan02=</v>
      </c>
      <c r="B123" s="2" t="s">
        <v>228</v>
      </c>
    </row>
    <row r="124" spans="1:2">
      <c r="A124" s="5" t="str">
        <f>"inclusion-ips-vsan="</f>
        <v>inclusion-ips-vsan=</v>
      </c>
      <c r="B124" s="2"/>
    </row>
    <row r="125" spans="1:2">
      <c r="A125" s="6"/>
    </row>
    <row r="126" spans="1:2">
      <c r="A126" s="1" t="s">
        <v>31</v>
      </c>
    </row>
    <row r="127" spans="1:2">
      <c r="A127" s="11" t="str">
        <f>IF('Deploy Parameters'!F42="n/a","mgmt-vm-folder-name@value=","mgmt-vm-folder-name@value="&amp;'Deploy Parameters'!F42&amp;"-fd-mgmt")</f>
        <v>mgmt-vm-folder-name@value=sfo-m01-fd-mgmt</v>
      </c>
      <c r="B127" s="2" t="s">
        <v>249</v>
      </c>
    </row>
    <row r="128" spans="1:2">
      <c r="A128" s="11" t="str">
        <f>IF('Deploy Parameters'!F42="n/a","nsx-vm-folder-name@value=","nsx-vm-folder-name@value="&amp;'Deploy Parameters'!F42&amp;"-fd-nsx")</f>
        <v>nsx-vm-folder-name@value=sfo-m01-fd-nsx</v>
      </c>
      <c r="B128" s="2" t="s">
        <v>250</v>
      </c>
    </row>
    <row r="129" spans="1:2">
      <c r="A129" s="11" t="str">
        <f>IF('Deploy Parameters'!F42="n/a","edge-vm-folder-name@value=","edge-vm-folder-name@value="&amp;'Deploy Parameters'!F42&amp;"-fd-edge")</f>
        <v>edge-vm-folder-name@value=sfo-m01-fd-edge</v>
      </c>
      <c r="B129" s="2" t="s">
        <v>251</v>
      </c>
    </row>
    <row r="130" spans="1:2">
      <c r="A130" s="12"/>
      <c r="B130" s="2"/>
    </row>
    <row r="131" spans="1:2">
      <c r="A131" s="1" t="s">
        <v>71</v>
      </c>
    </row>
    <row r="132" spans="1:2" customFormat="1">
      <c r="A132" s="9" t="str">
        <f>IF('Deploy Parameters'!G12="n/a","vxrail-manager.mgmt-address=","vxrail-manager.mgmt-address="&amp;'Deploy Parameters'!G12)</f>
        <v>vxrail-manager.mgmt-address=172.16.11.200</v>
      </c>
    </row>
    <row r="133" spans="1:2" customFormat="1">
      <c r="A133" s="9" t="str">
        <f>IF('Deploy Parameters'!F12="n/a","vxrail-manager.mgmt-hostname=","vxrail-manager.mgmt-hostname="&amp;'Deploy Parameters'!F12)</f>
        <v>vxrail-manager.mgmt-hostname=sfo-m01-vxm01</v>
      </c>
    </row>
    <row r="134" spans="1:2" customFormat="1">
      <c r="A134" s="1" t="s">
        <v>72</v>
      </c>
    </row>
    <row r="135" spans="1:2" customFormat="1">
      <c r="A135" s="5" t="str">
        <f>IF(Credentials!B8="n/a","vxrail-manager.username=","vxrail-manager.username="&amp;Credentials!B8)</f>
        <v>vxrail-manager.username=root</v>
      </c>
    </row>
    <row r="136" spans="1:2" customFormat="1">
      <c r="A136" s="5" t="str">
        <f>IF(Credentials!C8="n/a","vxrail-manager.password=","vxrail-manager.password="&amp;Credentials!C8)</f>
        <v>vxrail-manager.password=</v>
      </c>
    </row>
    <row r="137" spans="1:2" customFormat="1">
      <c r="A137" s="1" t="s">
        <v>73</v>
      </c>
    </row>
    <row r="138" spans="1:2" customFormat="1">
      <c r="A138" s="5" t="str">
        <f>IF(Credentials!B9="n/a","vxrail-service.username=","vxrail-service.username="&amp;Credentials!B9)</f>
        <v>vxrail-service.username=mystic</v>
      </c>
    </row>
    <row r="139" spans="1:2" customFormat="1">
      <c r="A139" s="5" t="str">
        <f>IF(Credentials!C9="n/a","vxrail-service.password=","vxrail-service.password="&amp;Credentials!C9)</f>
        <v>vxrail-service.password=</v>
      </c>
    </row>
    <row r="140" spans="1:2" customFormat="1">
      <c r="A140" s="10"/>
    </row>
    <row r="141" spans="1:2">
      <c r="A141" s="1" t="s">
        <v>74</v>
      </c>
    </row>
    <row r="142" spans="1:2">
      <c r="A142" s="9" t="str">
        <f>"mgmt-VsanDataStoreNamePrefix=VxRail-Virtual-SAN-Datastore-"</f>
        <v>mgmt-VsanDataStoreNamePrefix=VxRail-Virtual-SAN-Datastore-</v>
      </c>
    </row>
    <row r="143" spans="1:2">
      <c r="A143" s="9" t="str">
        <f>"mgmt-DatacenterName=VxRail-Datacenter"</f>
        <v>mgmt-DatacenterName=VxRail-Datacenter</v>
      </c>
    </row>
    <row r="144" spans="1:2">
      <c r="A144" s="9" t="str">
        <f>"mgmt-DvsName=VMware HCIA Distributed Switch"</f>
        <v>mgmt-DvsName=VMware HCIA Distributed Switch</v>
      </c>
    </row>
    <row r="145" spans="1:2">
      <c r="A145" s="9" t="str">
        <f>"mgmt-VmotionPortGroupNamePrefix=vSphere vMotion-"</f>
        <v>mgmt-VmotionPortGroupNamePrefix=vSphere vMotion-</v>
      </c>
    </row>
    <row r="146" spans="1:2">
      <c r="A146" s="9" t="str">
        <f>"mgmt-VsanPortGroupNamePrefix=Virtual SAN-"</f>
        <v>mgmt-VsanPortGroupNamePrefix=Virtual SAN-</v>
      </c>
    </row>
    <row r="147" spans="1:2">
      <c r="A147" s="9" t="str">
        <f>"mgmt-ManagementPortGroupNamePrefix=vCenter Server Network-"</f>
        <v>mgmt-ManagementPortGroupNamePrefix=vCenter Server Network-</v>
      </c>
    </row>
    <row r="148" spans="1:2">
      <c r="A148" s="9" t="str">
        <f>"mgmt-ManagementPortInternalGroupNamePrefix=Management Network-"</f>
        <v>mgmt-ManagementPortInternalGroupNamePrefix=Management Network-</v>
      </c>
    </row>
    <row r="149" spans="1:2">
      <c r="A149" s="9" t="str">
        <f>"mgmt-VcenterVmName=VMware vCenter Server Appliance"</f>
        <v>mgmt-VcenterVmName=VMware vCenter Server Appliance</v>
      </c>
    </row>
    <row r="150" spans="1:2">
      <c r="A150" s="9" t="str">
        <f>"mgmt-PscVmName=VMware vCenter Server Platform Services Controller"</f>
        <v>mgmt-PscVmName=VMware vCenter Server Platform Services Controller</v>
      </c>
    </row>
    <row r="151" spans="1:2">
      <c r="A151" s="9" t="str">
        <f>"mgmt-ClusterNamePrefix=VxRail-Virtual-SAN-Cluster-"</f>
        <v>mgmt-ClusterNamePrefix=VxRail-Virtual-SAN-Cluster-</v>
      </c>
    </row>
    <row r="152" spans="1:2">
      <c r="A152" s="9" t="str">
        <f>"mgmt-VmFolderName=VMware HCIA Folder"</f>
        <v>mgmt-VmFolderName=VMware HCIA Folder</v>
      </c>
    </row>
    <row r="153" spans="1:2">
      <c r="A153" s="9" t="str">
        <f>"mgmt-NativePortGroupNamePrefix=VxRail Management"</f>
        <v>mgmt-NativePortGroupNamePrefix=VxRail Management</v>
      </c>
    </row>
    <row r="154" spans="1:2">
      <c r="A154" s="3"/>
    </row>
    <row r="155" spans="1:2">
      <c r="A155" s="2" t="s">
        <v>151</v>
      </c>
      <c r="B155" s="2"/>
    </row>
    <row r="156" spans="1:2">
      <c r="A156" s="2" t="s">
        <v>152</v>
      </c>
      <c r="B156" s="2"/>
    </row>
    <row r="157" spans="1:2">
      <c r="A157" s="4" t="str">
        <f>IF('Deploy Parameters'!F18="n/a","nsxt-license@key=","nsxt-license@key="&amp;'Deploy Parameters'!F18)</f>
        <v>nsxt-license@key=</v>
      </c>
      <c r="B157" s="2" t="s">
        <v>153</v>
      </c>
    </row>
    <row r="158" spans="1:2">
      <c r="A158" s="2" t="s">
        <v>281</v>
      </c>
      <c r="B158" s="2"/>
    </row>
    <row r="159" spans="1:2">
      <c r="A159" s="4" t="str">
        <f>"nsxt-va-deployment-size="&amp;'Deploy Parameters'!F36</f>
        <v>nsxt-va-deployment-size=medium</v>
      </c>
      <c r="B159" s="2" t="s">
        <v>154</v>
      </c>
    </row>
    <row r="160" spans="1:2">
      <c r="A160" s="2" t="s">
        <v>155</v>
      </c>
      <c r="B160" s="2"/>
    </row>
    <row r="161" spans="1:2">
      <c r="A161" s="4" t="str">
        <f>"nsxt-root-credentials@password="&amp;Credentials!C14</f>
        <v>nsxt-root-credentials@password=</v>
      </c>
      <c r="B161" s="2" t="s">
        <v>156</v>
      </c>
    </row>
    <row r="162" spans="1:2">
      <c r="A162" s="4" t="str">
        <f>"nsxt-admin-credentials@password="&amp;Credentials!C15</f>
        <v>nsxt-admin-credentials@password=</v>
      </c>
      <c r="B162" s="2" t="s">
        <v>157</v>
      </c>
    </row>
    <row r="163" spans="1:2">
      <c r="A163" s="4" t="str">
        <f>"nsxt-cli-privilege-credentials@password="&amp;Credentials!C16</f>
        <v>nsxt-cli-privilege-credentials@password=</v>
      </c>
      <c r="B163" s="2" t="s">
        <v>158</v>
      </c>
    </row>
    <row r="164" spans="1:2">
      <c r="A164" s="2" t="s">
        <v>159</v>
      </c>
      <c r="B164" s="2" t="s">
        <v>160</v>
      </c>
    </row>
    <row r="165" spans="1:2">
      <c r="A165" s="2" t="s">
        <v>161</v>
      </c>
      <c r="B165" s="2" t="s">
        <v>162</v>
      </c>
    </row>
    <row r="166" spans="1:2">
      <c r="A166" s="2" t="s">
        <v>163</v>
      </c>
      <c r="B166" s="2"/>
    </row>
    <row r="167" spans="1:2">
      <c r="A167" s="4" t="str">
        <f>"nsxt-vip-hostname="&amp;'Deploy Parameters'!F32</f>
        <v>nsxt-vip-hostname=sfo-m01-nsx01</v>
      </c>
      <c r="B167" s="2" t="s">
        <v>164</v>
      </c>
    </row>
    <row r="168" spans="1:2">
      <c r="A168" s="4" t="str">
        <f>"nsxt-vip-address="&amp;'Deploy Parameters'!G32</f>
        <v>nsxt-vip-address=172.16.11.65</v>
      </c>
      <c r="B168" s="2" t="s">
        <v>165</v>
      </c>
    </row>
    <row r="169" spans="1:2">
      <c r="A169" s="4" t="str">
        <f>"nsxt-node1-hostname="&amp;'Deploy Parameters'!F33</f>
        <v>nsxt-node1-hostname=sfo-m01-nsx01a</v>
      </c>
      <c r="B169" s="2" t="s">
        <v>166</v>
      </c>
    </row>
    <row r="170" spans="1:2">
      <c r="A170" s="4" t="str">
        <f>"nsxt-node1-address="&amp;'Deploy Parameters'!G33</f>
        <v>nsxt-node1-address=172.16.11.66</v>
      </c>
      <c r="B170" s="2" t="s">
        <v>166</v>
      </c>
    </row>
    <row r="171" spans="1:2">
      <c r="A171" s="4" t="str">
        <f>"nsxt-node2-hostname="&amp;'Deploy Parameters'!F34</f>
        <v>nsxt-node2-hostname=sfo-m01-nsx01b</v>
      </c>
      <c r="B171" s="2" t="s">
        <v>166</v>
      </c>
    </row>
    <row r="172" spans="1:2">
      <c r="A172" s="4" t="str">
        <f>"nsxt-node2-address="&amp;'Deploy Parameters'!G34</f>
        <v>nsxt-node2-address=172.16.11.67</v>
      </c>
      <c r="B172" s="2" t="s">
        <v>166</v>
      </c>
    </row>
    <row r="173" spans="1:2">
      <c r="A173" s="4" t="str">
        <f>"nsxt-node3-hostname="&amp;'Deploy Parameters'!F35</f>
        <v>nsxt-node3-hostname=sfo-m01-nsx01c</v>
      </c>
      <c r="B173" s="2" t="s">
        <v>166</v>
      </c>
    </row>
    <row r="174" spans="1:2">
      <c r="A174" s="4" t="str">
        <f>"nsxt-node3-address="&amp;'Deploy Parameters'!G35</f>
        <v>nsxt-node3-address=172.16.11.68</v>
      </c>
      <c r="B174" s="2" t="s">
        <v>166</v>
      </c>
    </row>
    <row r="175" spans="1:2">
      <c r="A175" s="2" t="s">
        <v>167</v>
      </c>
      <c r="B175" s="2"/>
    </row>
    <row r="176" spans="1:2">
      <c r="A176" s="4" t="str">
        <f>"nsxt-transport-vlan-zoneName="&amp;'Deploy Parameters'!F42&amp;"-tz-vlan01"</f>
        <v>nsxt-transport-vlan-zoneName=sfo-m01-tz-vlan01</v>
      </c>
      <c r="B176" s="2" t="s">
        <v>169</v>
      </c>
    </row>
    <row r="177" spans="1:2">
      <c r="A177" s="2" t="s">
        <v>264</v>
      </c>
      <c r="B177" s="2" t="s">
        <v>170</v>
      </c>
    </row>
    <row r="178" spans="1:2">
      <c r="A178" s="4" t="str">
        <f>"nsxt-transport-vlanid="&amp;'Hosts and Networks'!J23</f>
        <v>nsxt-transport-vlanid=1614</v>
      </c>
      <c r="B178" s="2" t="s">
        <v>168</v>
      </c>
    </row>
    <row r="179" spans="1:2">
      <c r="A179" s="4" t="str">
        <f>"nsxt-transport-overlay-zoneName="&amp;'Deploy Parameters'!F42&amp;"-tz-overlay01"</f>
        <v>nsxt-transport-overlay-zoneName=sfo-m01-tz-overlay01</v>
      </c>
      <c r="B179" s="2" t="s">
        <v>171</v>
      </c>
    </row>
    <row r="180" spans="1:2">
      <c r="A180" s="8" t="s">
        <v>299</v>
      </c>
      <c r="B180" s="2" t="s">
        <v>172</v>
      </c>
    </row>
    <row r="182" spans="1:2">
      <c r="A182" s="2" t="s">
        <v>325</v>
      </c>
      <c r="B182" s="2"/>
    </row>
    <row r="183" spans="1:2">
      <c r="A183" s="4" t="str">
        <f>IF('Hosts and Networks'!K25="Yes","nsxt-hostStaticIpPool=true","nsxt-hostStaticIpPool=false")</f>
        <v>nsxt-hostStaticIpPool=false</v>
      </c>
      <c r="B183" s="2"/>
    </row>
    <row r="184" spans="1:2">
      <c r="A184" s="4" t="str">
        <f>IF('Hosts and Networks'!K25="No","nsxt-hostStaticIpPool-name=","nsxt-hostStaticIpPool-name="&amp;'Hosts and Networks'!J27)</f>
        <v>nsxt-hostStaticIpPool-name=</v>
      </c>
      <c r="B184" s="2" t="s">
        <v>326</v>
      </c>
    </row>
    <row r="185" spans="1:2">
      <c r="A185" s="4" t="str">
        <f>IF('Hosts and Networks'!K25="No","nsxt-hostStaticIpPool-description=","nsxt-hostStaticIpPool-description="&amp;'Hosts and Networks'!J26)</f>
        <v>nsxt-hostStaticIpPool-description=</v>
      </c>
      <c r="B185" s="2" t="s">
        <v>327</v>
      </c>
    </row>
    <row r="186" spans="1:2">
      <c r="A186" s="4" t="str">
        <f>IF('Hosts and Networks'!K25="No","nsxt-hostStaticIpPool-ipStart=","nsxt-hostStaticIpPool-ipStart="&amp;'Hosts and Networks'!J29)</f>
        <v>nsxt-hostStaticIpPool-ipStart=</v>
      </c>
      <c r="B186" s="2" t="s">
        <v>328</v>
      </c>
    </row>
    <row r="187" spans="1:2">
      <c r="A187" s="4" t="str">
        <f>IF('Hosts and Networks'!K25="No","nsxt-hostStaticIpPool-ipEnd=","nsxt-hostStaticIpPool-ipEnd="&amp;'Hosts and Networks'!L29)</f>
        <v>nsxt-hostStaticIpPool-ipEnd=</v>
      </c>
      <c r="B187" s="2" t="s">
        <v>329</v>
      </c>
    </row>
    <row r="188" spans="1:2">
      <c r="A188" s="4" t="str">
        <f>IF('Hosts and Networks'!K25="No","nsxt-hostStaticIpPool-ipCidr=","nsxt-hostStaticIpPool-ipCidr="&amp;'Hosts and Networks'!J28)</f>
        <v>nsxt-hostStaticIpPool-ipCidr=</v>
      </c>
      <c r="B188" s="2" t="s">
        <v>330</v>
      </c>
    </row>
    <row r="189" spans="1:2">
      <c r="A189" s="4" t="str">
        <f>IF('Hosts and Networks'!K25="No","nsxt-hostStaticIpPool-ipGateway=","nsxt-hostStaticIpPool-ipGateway="&amp;'Hosts and Networks'!L28)</f>
        <v>nsxt-hostStaticIpPool-ipGateway=</v>
      </c>
      <c r="B189" s="2" t="s">
        <v>331</v>
      </c>
    </row>
    <row r="191" spans="1:2">
      <c r="A191" s="1" t="s">
        <v>23</v>
      </c>
    </row>
  </sheetData>
  <sheetProtection sheet="1" objects="1" scenarios="1"/>
  <conditionalFormatting sqref="A25:A85 A1:A23 A92:A181 A190:A1048576">
    <cfRule type="containsText" dxfId="9" priority="20" operator="containsText" text="#">
      <formula>NOT(ISERROR(SEARCH("#",A1)))</formula>
    </cfRule>
  </conditionalFormatting>
  <conditionalFormatting sqref="A178">
    <cfRule type="beginsWith" dxfId="8" priority="17" operator="beginsWith" text="#">
      <formula>LEFT(A178,LEN("#"))="#"</formula>
    </cfRule>
  </conditionalFormatting>
  <conditionalFormatting sqref="A24">
    <cfRule type="containsText" dxfId="7" priority="8" operator="containsText" text="#">
      <formula>NOT(ISERROR(SEARCH("#",A24)))</formula>
    </cfRule>
  </conditionalFormatting>
  <conditionalFormatting sqref="A182:A189">
    <cfRule type="containsText" dxfId="6" priority="6" operator="containsText" text="#">
      <formula>NOT(ISERROR(SEARCH("#",A182)))</formula>
    </cfRule>
  </conditionalFormatting>
  <conditionalFormatting sqref="A182:A189">
    <cfRule type="beginsWith" dxfId="5" priority="5" operator="beginsWith" text="#">
      <formula>LEFT(A182,LEN("#"))="#"</formula>
    </cfRule>
  </conditionalFormatting>
  <conditionalFormatting sqref="A90:A91 A86 A88">
    <cfRule type="containsText" dxfId="4" priority="3" operator="containsText" text="#">
      <formula>NOT(ISERROR(SEARCH("#",A86)))</formula>
    </cfRule>
  </conditionalFormatting>
  <conditionalFormatting sqref="A89">
    <cfRule type="containsText" dxfId="3" priority="2" operator="containsText" text="#">
      <formula>NOT(ISERROR(SEARCH("#",A89)))</formula>
    </cfRule>
  </conditionalFormatting>
  <conditionalFormatting sqref="A87">
    <cfRule type="containsText" dxfId="2" priority="1" operator="containsText" text="#">
      <formula>NOT(ISERROR(SEARCH("#",A87)))</formula>
    </cfRule>
  </conditionalFormatting>
  <hyperlinks>
    <hyperlink ref="A44" r:id="rId1" display="management-vsan-datastore-name@value=" xr:uid="{00000000-0004-0000-0700-000000000000}"/>
    <hyperlink ref="A33" r:id="rId2" display="sso-site-name@value=" xr:uid="{00000000-0004-0000-0700-000004000000}"/>
  </hyperlinks>
  <pageMargins left="0.7" right="0.7" top="0.75" bottom="0.75" header="0.3" footer="0.3"/>
  <pageSetup paperSize="9" orientation="portrait" horizontalDpi="75" verticalDpi="75"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dimension ref="A1:B79"/>
  <sheetViews>
    <sheetView zoomScale="115" workbookViewId="0">
      <pane ySplit="1" topLeftCell="A59" activePane="bottomLeft" state="frozen"/>
      <selection pane="bottomLeft" activeCell="B79" sqref="B79"/>
    </sheetView>
  </sheetViews>
  <sheetFormatPr baseColWidth="10" defaultColWidth="11.5" defaultRowHeight="15"/>
  <cols>
    <col min="1" max="1" width="11.5" style="14"/>
    <col min="2" max="2" width="139.1640625" style="13" customWidth="1"/>
    <col min="23" max="23" width="131.1640625" customWidth="1"/>
  </cols>
  <sheetData>
    <row r="1" spans="1:2" ht="16">
      <c r="A1" s="14" t="s">
        <v>32</v>
      </c>
      <c r="B1" s="13" t="s">
        <v>3</v>
      </c>
    </row>
    <row r="2" spans="1:2" ht="16">
      <c r="A2" s="84">
        <v>43448</v>
      </c>
      <c r="B2" s="13" t="s">
        <v>78</v>
      </c>
    </row>
    <row r="3" spans="1:2" ht="16">
      <c r="A3" s="94">
        <v>43486</v>
      </c>
      <c r="B3" s="13" t="s">
        <v>79</v>
      </c>
    </row>
    <row r="4" spans="1:2" s="96" customFormat="1" ht="80">
      <c r="A4" s="95">
        <v>43503</v>
      </c>
      <c r="B4" s="13" t="s">
        <v>82</v>
      </c>
    </row>
    <row r="5" spans="1:2" ht="32">
      <c r="A5" s="95">
        <v>43515</v>
      </c>
      <c r="B5" s="13" t="s">
        <v>83</v>
      </c>
    </row>
    <row r="6" spans="1:2" s="97" customFormat="1" ht="16">
      <c r="A6" s="98">
        <v>43523</v>
      </c>
      <c r="B6" s="13" t="s">
        <v>84</v>
      </c>
    </row>
    <row r="7" spans="1:2" s="97" customFormat="1" ht="16">
      <c r="A7" s="98">
        <v>43532</v>
      </c>
      <c r="B7" s="13" t="s">
        <v>85</v>
      </c>
    </row>
    <row r="8" spans="1:2" s="97" customFormat="1" ht="32">
      <c r="A8" s="99">
        <v>43557</v>
      </c>
      <c r="B8" s="13" t="s">
        <v>86</v>
      </c>
    </row>
    <row r="9" spans="1:2" s="97" customFormat="1" ht="32">
      <c r="A9" s="99">
        <v>43598</v>
      </c>
      <c r="B9" s="13" t="s">
        <v>87</v>
      </c>
    </row>
    <row r="10" spans="1:2" s="97" customFormat="1" ht="16">
      <c r="A10" s="99">
        <v>43583</v>
      </c>
      <c r="B10" s="13" t="s">
        <v>88</v>
      </c>
    </row>
    <row r="11" spans="1:2" s="97" customFormat="1" ht="16">
      <c r="A11" s="102">
        <v>43614</v>
      </c>
      <c r="B11" s="103" t="s">
        <v>90</v>
      </c>
    </row>
    <row r="12" spans="1:2" s="97" customFormat="1" ht="16">
      <c r="A12" s="104">
        <v>43621</v>
      </c>
      <c r="B12" s="105" t="s">
        <v>92</v>
      </c>
    </row>
    <row r="13" spans="1:2" s="97" customFormat="1" ht="32">
      <c r="A13" s="104">
        <v>43622</v>
      </c>
      <c r="B13" s="105" t="s">
        <v>93</v>
      </c>
    </row>
    <row r="14" spans="1:2" s="97" customFormat="1" ht="16">
      <c r="A14" s="99">
        <v>43634</v>
      </c>
      <c r="B14" s="13" t="s">
        <v>94</v>
      </c>
    </row>
    <row r="15" spans="1:2" s="97" customFormat="1" ht="32">
      <c r="A15" s="107">
        <v>43640</v>
      </c>
      <c r="B15" s="13" t="s">
        <v>113</v>
      </c>
    </row>
    <row r="16" spans="1:2" s="97" customFormat="1" ht="16">
      <c r="A16" s="107">
        <v>43664</v>
      </c>
      <c r="B16" s="13" t="s">
        <v>114</v>
      </c>
    </row>
    <row r="17" spans="1:2" s="97" customFormat="1" ht="16">
      <c r="A17" s="107">
        <v>43684</v>
      </c>
      <c r="B17" s="13" t="s">
        <v>115</v>
      </c>
    </row>
    <row r="18" spans="1:2" s="97" customFormat="1" ht="16">
      <c r="A18" s="107">
        <v>43690</v>
      </c>
      <c r="B18" s="13" t="s">
        <v>122</v>
      </c>
    </row>
    <row r="19" spans="1:2" s="97" customFormat="1" ht="16">
      <c r="A19" s="107">
        <v>43724</v>
      </c>
      <c r="B19" s="13" t="s">
        <v>124</v>
      </c>
    </row>
    <row r="20" spans="1:2" s="97" customFormat="1" ht="16">
      <c r="A20" s="107">
        <v>43724</v>
      </c>
      <c r="B20" s="13" t="s">
        <v>123</v>
      </c>
    </row>
    <row r="21" spans="1:2" s="97" customFormat="1" ht="16">
      <c r="A21" s="107">
        <v>43738</v>
      </c>
      <c r="B21" s="13" t="s">
        <v>125</v>
      </c>
    </row>
    <row r="22" spans="1:2" s="97" customFormat="1" ht="16">
      <c r="A22" s="107">
        <v>43747</v>
      </c>
      <c r="B22" s="13" t="s">
        <v>126</v>
      </c>
    </row>
    <row r="23" spans="1:2" s="97" customFormat="1" ht="16">
      <c r="A23" s="107">
        <v>43762</v>
      </c>
      <c r="B23" s="13" t="s">
        <v>127</v>
      </c>
    </row>
    <row r="24" spans="1:2" ht="14.25" customHeight="1">
      <c r="A24" s="107">
        <v>43762</v>
      </c>
      <c r="B24" s="13" t="s">
        <v>128</v>
      </c>
    </row>
    <row r="25" spans="1:2" s="97" customFormat="1" ht="14.25" customHeight="1">
      <c r="A25" s="111">
        <v>43777</v>
      </c>
      <c r="B25" s="13" t="s">
        <v>129</v>
      </c>
    </row>
    <row r="26" spans="1:2" s="97" customFormat="1" ht="14.25" customHeight="1">
      <c r="A26" s="111">
        <v>43781</v>
      </c>
      <c r="B26" s="13" t="s">
        <v>130</v>
      </c>
    </row>
    <row r="27" spans="1:2" s="97" customFormat="1" ht="14.25" customHeight="1">
      <c r="A27" s="111">
        <v>43782</v>
      </c>
      <c r="B27" s="13" t="s">
        <v>131</v>
      </c>
    </row>
    <row r="28" spans="1:2" s="97" customFormat="1" ht="14.25" customHeight="1">
      <c r="A28" s="111">
        <v>43783</v>
      </c>
      <c r="B28" s="13" t="s">
        <v>133</v>
      </c>
    </row>
    <row r="29" spans="1:2" s="97" customFormat="1" ht="80">
      <c r="A29" s="111">
        <v>43811</v>
      </c>
      <c r="B29" s="13" t="s">
        <v>134</v>
      </c>
    </row>
    <row r="30" spans="1:2" s="97" customFormat="1" ht="192">
      <c r="A30" s="111">
        <v>43832</v>
      </c>
      <c r="B30" s="13" t="s">
        <v>138</v>
      </c>
    </row>
    <row r="31" spans="1:2" s="97" customFormat="1" ht="64">
      <c r="A31" s="111">
        <v>43864</v>
      </c>
      <c r="B31" s="13" t="s">
        <v>232</v>
      </c>
    </row>
    <row r="32" spans="1:2" s="97" customFormat="1" ht="16">
      <c r="A32" s="111">
        <v>43838</v>
      </c>
      <c r="B32" s="13" t="s">
        <v>236</v>
      </c>
    </row>
    <row r="33" spans="1:2" s="97" customFormat="1" ht="16">
      <c r="A33" s="111">
        <v>43843</v>
      </c>
      <c r="B33" s="13" t="s">
        <v>237</v>
      </c>
    </row>
    <row r="34" spans="1:2" s="97" customFormat="1" ht="16">
      <c r="A34" s="111">
        <v>43857</v>
      </c>
      <c r="B34" s="13" t="s">
        <v>238</v>
      </c>
    </row>
    <row r="35" spans="1:2" s="97" customFormat="1" ht="16">
      <c r="A35" s="111">
        <v>43878</v>
      </c>
      <c r="B35" s="13" t="s">
        <v>239</v>
      </c>
    </row>
    <row r="36" spans="1:2" s="97" customFormat="1" ht="48">
      <c r="A36" s="111">
        <v>43882</v>
      </c>
      <c r="B36" s="13" t="s">
        <v>247</v>
      </c>
    </row>
    <row r="37" spans="1:2" s="97" customFormat="1" ht="32">
      <c r="A37" s="111">
        <v>43887</v>
      </c>
      <c r="B37" s="13" t="s">
        <v>252</v>
      </c>
    </row>
    <row r="38" spans="1:2" s="97" customFormat="1" ht="16">
      <c r="A38" s="111">
        <v>43893</v>
      </c>
      <c r="B38" s="13" t="s">
        <v>253</v>
      </c>
    </row>
    <row r="39" spans="1:2" s="97" customFormat="1" ht="16">
      <c r="A39" s="111">
        <v>43894</v>
      </c>
      <c r="B39" s="13" t="s">
        <v>255</v>
      </c>
    </row>
    <row r="40" spans="1:2" s="97" customFormat="1" ht="16">
      <c r="A40" s="111">
        <v>43895</v>
      </c>
      <c r="B40" s="13" t="s">
        <v>256</v>
      </c>
    </row>
    <row r="41" spans="1:2" s="97" customFormat="1" ht="16">
      <c r="A41" s="111">
        <v>43896</v>
      </c>
      <c r="B41" s="13" t="s">
        <v>263</v>
      </c>
    </row>
    <row r="42" spans="1:2" s="97" customFormat="1" ht="32">
      <c r="A42" s="111">
        <v>43899</v>
      </c>
      <c r="B42" s="13" t="s">
        <v>265</v>
      </c>
    </row>
    <row r="43" spans="1:2" s="97" customFormat="1" ht="32">
      <c r="A43" s="111">
        <v>43900</v>
      </c>
      <c r="B43" s="13" t="s">
        <v>268</v>
      </c>
    </row>
    <row r="44" spans="1:2" s="97" customFormat="1" ht="16">
      <c r="A44" s="111">
        <v>43901</v>
      </c>
      <c r="B44" s="13" t="s">
        <v>125</v>
      </c>
    </row>
    <row r="45" spans="1:2" s="97" customFormat="1" ht="32">
      <c r="A45" s="111">
        <v>43903</v>
      </c>
      <c r="B45" s="13" t="s">
        <v>279</v>
      </c>
    </row>
    <row r="46" spans="1:2" s="97" customFormat="1" ht="16">
      <c r="A46" s="111">
        <v>43915</v>
      </c>
      <c r="B46" s="13" t="s">
        <v>280</v>
      </c>
    </row>
    <row r="47" spans="1:2" s="97" customFormat="1" ht="32">
      <c r="A47" s="111">
        <v>43916</v>
      </c>
      <c r="B47" s="13" t="s">
        <v>282</v>
      </c>
    </row>
    <row r="48" spans="1:2" s="97" customFormat="1" ht="48">
      <c r="A48" s="111">
        <v>43929</v>
      </c>
      <c r="B48" s="13" t="s">
        <v>283</v>
      </c>
    </row>
    <row r="49" spans="1:2" s="97" customFormat="1" ht="16">
      <c r="A49" s="111">
        <v>43935</v>
      </c>
      <c r="B49" s="13" t="s">
        <v>287</v>
      </c>
    </row>
    <row r="50" spans="1:2" s="97" customFormat="1" ht="64">
      <c r="A50" s="111">
        <v>43942</v>
      </c>
      <c r="B50" s="13" t="s">
        <v>293</v>
      </c>
    </row>
    <row r="51" spans="1:2" s="97" customFormat="1" ht="16">
      <c r="A51" s="111">
        <v>43955</v>
      </c>
      <c r="B51" s="13" t="s">
        <v>295</v>
      </c>
    </row>
    <row r="52" spans="1:2" s="97" customFormat="1" ht="16">
      <c r="A52" s="111">
        <v>43957</v>
      </c>
      <c r="B52" s="13" t="s">
        <v>296</v>
      </c>
    </row>
    <row r="53" spans="1:2" s="97" customFormat="1" ht="16">
      <c r="A53" s="111">
        <v>43958</v>
      </c>
      <c r="B53" s="13" t="s">
        <v>297</v>
      </c>
    </row>
    <row r="54" spans="1:2" s="97" customFormat="1" ht="16">
      <c r="A54" s="111">
        <v>43984</v>
      </c>
      <c r="B54" s="13" t="s">
        <v>298</v>
      </c>
    </row>
    <row r="55" spans="1:2" s="97" customFormat="1" ht="16">
      <c r="A55" s="120">
        <v>43987</v>
      </c>
      <c r="B55" s="13" t="s">
        <v>300</v>
      </c>
    </row>
    <row r="56" spans="1:2" s="97" customFormat="1" ht="16">
      <c r="A56" s="120">
        <v>44001</v>
      </c>
      <c r="B56" s="13" t="s">
        <v>301</v>
      </c>
    </row>
    <row r="57" spans="1:2" s="97" customFormat="1" ht="32">
      <c r="A57" s="120">
        <v>44021</v>
      </c>
      <c r="B57" s="13" t="s">
        <v>344</v>
      </c>
    </row>
    <row r="58" spans="1:2" s="97" customFormat="1" ht="16">
      <c r="A58" s="120">
        <v>44039</v>
      </c>
      <c r="B58" s="13" t="s">
        <v>304</v>
      </c>
    </row>
    <row r="59" spans="1:2" s="97" customFormat="1" ht="32">
      <c r="A59" s="120">
        <v>44054</v>
      </c>
      <c r="B59" s="13" t="s">
        <v>307</v>
      </c>
    </row>
    <row r="60" spans="1:2" s="97" customFormat="1" ht="16">
      <c r="A60" s="120">
        <v>44055</v>
      </c>
      <c r="B60" s="13" t="s">
        <v>308</v>
      </c>
    </row>
    <row r="61" spans="1:2" s="97" customFormat="1" ht="16">
      <c r="A61" s="120">
        <v>44061</v>
      </c>
      <c r="B61" s="13" t="s">
        <v>310</v>
      </c>
    </row>
    <row r="62" spans="1:2" s="97" customFormat="1" ht="80">
      <c r="A62" s="120">
        <v>44092</v>
      </c>
      <c r="B62" s="13" t="s">
        <v>345</v>
      </c>
    </row>
    <row r="63" spans="1:2" s="97" customFormat="1" ht="16">
      <c r="A63" s="120">
        <v>44096</v>
      </c>
      <c r="B63" s="13" t="s">
        <v>342</v>
      </c>
    </row>
    <row r="64" spans="1:2" s="97" customFormat="1" ht="32">
      <c r="A64" s="120">
        <v>44102</v>
      </c>
      <c r="B64" s="13" t="s">
        <v>346</v>
      </c>
    </row>
    <row r="65" spans="1:2" s="97" customFormat="1" ht="16">
      <c r="A65" s="120">
        <v>44104</v>
      </c>
      <c r="B65" s="13" t="s">
        <v>347</v>
      </c>
    </row>
    <row r="66" spans="1:2" s="97" customFormat="1" ht="32">
      <c r="A66" s="120">
        <v>44116</v>
      </c>
      <c r="B66" s="13" t="s">
        <v>348</v>
      </c>
    </row>
    <row r="67" spans="1:2" s="97" customFormat="1" ht="64">
      <c r="A67" s="120">
        <v>44130</v>
      </c>
      <c r="B67" s="13" t="s">
        <v>349</v>
      </c>
    </row>
    <row r="68" spans="1:2" s="97" customFormat="1" ht="16">
      <c r="A68" s="120">
        <v>44137</v>
      </c>
      <c r="B68" s="13" t="s">
        <v>350</v>
      </c>
    </row>
    <row r="69" spans="1:2" s="97" customFormat="1" ht="16">
      <c r="A69" s="120">
        <v>44140</v>
      </c>
      <c r="B69" s="13" t="s">
        <v>351</v>
      </c>
    </row>
    <row r="70" spans="1:2" s="97" customFormat="1" ht="16">
      <c r="A70" s="120">
        <v>44147</v>
      </c>
      <c r="B70" s="13" t="s">
        <v>352</v>
      </c>
    </row>
    <row r="71" spans="1:2" s="97" customFormat="1" ht="48">
      <c r="A71" s="120">
        <v>44166</v>
      </c>
      <c r="B71" s="13" t="s">
        <v>354</v>
      </c>
    </row>
    <row r="72" spans="1:2" s="97" customFormat="1" ht="32">
      <c r="A72" s="120">
        <v>44215</v>
      </c>
      <c r="B72" s="13" t="s">
        <v>359</v>
      </c>
    </row>
    <row r="73" spans="1:2" s="97" customFormat="1" ht="16">
      <c r="A73" s="120">
        <v>44223</v>
      </c>
      <c r="B73" s="13" t="s">
        <v>360</v>
      </c>
    </row>
    <row r="74" spans="1:2" s="97" customFormat="1" ht="16">
      <c r="A74" s="120">
        <v>44239</v>
      </c>
      <c r="B74" s="13" t="s">
        <v>371</v>
      </c>
    </row>
    <row r="75" spans="1:2" s="97" customFormat="1" ht="64">
      <c r="A75" s="120">
        <v>44271</v>
      </c>
      <c r="B75" s="13" t="s">
        <v>381</v>
      </c>
    </row>
    <row r="76" spans="1:2" s="97" customFormat="1" ht="16">
      <c r="A76" s="120">
        <v>44318</v>
      </c>
      <c r="B76" s="13" t="s">
        <v>382</v>
      </c>
    </row>
    <row r="77" spans="1:2" s="97" customFormat="1" ht="16">
      <c r="A77" s="120">
        <v>44342</v>
      </c>
      <c r="B77" s="13" t="s">
        <v>383</v>
      </c>
    </row>
    <row r="78" spans="1:2" s="97" customFormat="1" ht="16">
      <c r="A78" s="120">
        <v>44357</v>
      </c>
      <c r="B78" s="13" t="s">
        <v>347</v>
      </c>
    </row>
    <row r="79" spans="1:2" ht="7" customHeight="1">
      <c r="A79" s="15"/>
      <c r="B79" s="16"/>
    </row>
  </sheetData>
  <pageMargins left="0.7" right="0.7" top="0.75" bottom="0.75" header="0.3" footer="0.3"/>
  <pageSetup paperSize="9" orientation="portrait" horizontalDpi="0" verticalDpi="0"/>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385A577933F924685E4DAD91140489E" ma:contentTypeVersion="4" ma:contentTypeDescription="Create a new document." ma:contentTypeScope="" ma:versionID="3703d19fa21c31057512a85f9ad51027">
  <xsd:schema xmlns:xsd="http://www.w3.org/2001/XMLSchema" xmlns:xs="http://www.w3.org/2001/XMLSchema" xmlns:p="http://schemas.microsoft.com/office/2006/metadata/properties" xmlns:ns2="42f332f2-14e4-43ff-80e4-f13db3e1f79e" xmlns:ns3="b23cd13a-97d6-4d08-9f46-6800ee6bb4bb" targetNamespace="http://schemas.microsoft.com/office/2006/metadata/properties" ma:root="true" ma:fieldsID="a938341cf742ddf41df261b8578605b1" ns2:_="" ns3:_="">
    <xsd:import namespace="42f332f2-14e4-43ff-80e4-f13db3e1f79e"/>
    <xsd:import namespace="b23cd13a-97d6-4d08-9f46-6800ee6bb4bb"/>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2f332f2-14e4-43ff-80e4-f13db3e1f79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23cd13a-97d6-4d08-9f46-6800ee6bb4bb"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D9645CC-E5C1-4434-94A1-B17509A51FF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2f332f2-14e4-43ff-80e4-f13db3e1f79e"/>
    <ds:schemaRef ds:uri="b23cd13a-97d6-4d08-9f46-6800ee6bb4b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C764FA8-E187-4ABA-86B6-51F1D87DE4F4}">
  <ds:schemaRefs>
    <ds:schemaRef ds:uri="42f332f2-14e4-43ff-80e4-f13db3e1f79e"/>
    <ds:schemaRef ds:uri="http://purl.org/dc/dcmitype/"/>
    <ds:schemaRef ds:uri="http://purl.org/dc/elements/1.1/"/>
    <ds:schemaRef ds:uri="http://schemas.microsoft.com/office/2006/metadata/properties"/>
    <ds:schemaRef ds:uri="http://schemas.microsoft.com/office/2006/documentManagement/types"/>
    <ds:schemaRef ds:uri="http://schemas.microsoft.com/office/infopath/2007/PartnerControls"/>
    <ds:schemaRef ds:uri="b23cd13a-97d6-4d08-9f46-6800ee6bb4bb"/>
    <ds:schemaRef ds:uri="http://schemas.openxmlformats.org/package/2006/metadata/core-properties"/>
    <ds:schemaRef ds:uri="http://www.w3.org/XML/1998/namespace"/>
    <ds:schemaRef ds:uri="http://purl.org/dc/terms/"/>
  </ds:schemaRefs>
</ds:datastoreItem>
</file>

<file path=customXml/itemProps3.xml><?xml version="1.0" encoding="utf-8"?>
<ds:datastoreItem xmlns:ds="http://schemas.openxmlformats.org/officeDocument/2006/customXml" ds:itemID="{7DD9441E-4163-4C29-A591-891C9204329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Introduction</vt:lpstr>
      <vt:lpstr>Credentials</vt:lpstr>
      <vt:lpstr>Hosts and Networks</vt:lpstr>
      <vt:lpstr>Lookup_Lists</vt:lpstr>
      <vt:lpstr>Deploy Parameters</vt:lpstr>
      <vt:lpstr>Config_File_Build</vt:lpstr>
      <vt:lpstr>Change Log</vt:lpstr>
      <vt:lpstr>EVC_Settings</vt:lpstr>
      <vt:lpstr>Credentials!Print_Area</vt:lpstr>
      <vt:lpstr>'Deploy Parameters'!Print_Area</vt:lpstr>
      <vt:lpstr>vds_Profiles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VMware Cloud Foundation</dc:title>
  <dc:subject>Deployment Parameters</dc:subject>
  <dc:creator>Cloud Platform Business Unit (CPBU)</dc:creator>
  <cp:keywords>v4.3.0</cp:keywords>
  <dc:description/>
  <cp:lastModifiedBy>Microsoft Office User</cp:lastModifiedBy>
  <dcterms:created xsi:type="dcterms:W3CDTF">2015-04-26T05:38:09Z</dcterms:created>
  <dcterms:modified xsi:type="dcterms:W3CDTF">2021-06-10T09:18:43Z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0x0101004385A577933F924685E4DAD91140489E</vt:lpwstr>
  </property>
  <property fmtid="{D5CDD505-2E9C-101B-9397-08002B2CF9AE}" pid="3" name="Order">
    <vt:i4>1823000</vt:i4>
  </property>
  <property fmtid="{D5CDD505-2E9C-101B-9397-08002B2CF9AE}" pid="4" name="URL">
    <vt:lpwstr/>
  </property>
  <property fmtid="{D5CDD505-2E9C-101B-9397-08002B2CF9AE}" pid="5" name="xd_ProgID">
    <vt:lpwstr/>
  </property>
  <property fmtid="{D5CDD505-2E9C-101B-9397-08002B2CF9AE}" pid="6" name="Gap Analysis Complete">
    <vt:bool>true</vt:bool>
  </property>
  <property fmtid="{D5CDD505-2E9C-101B-9397-08002B2CF9AE}" pid="7" name="TemplateUrl">
    <vt:lpwstr/>
  </property>
  <property fmtid="{D5CDD505-2E9C-101B-9397-08002B2CF9AE}" pid="8" name="Latest Kit Archived on Perforce">
    <vt:bool>true</vt:bool>
  </property>
  <property fmtid="{D5CDD505-2E9C-101B-9397-08002B2CF9AE}" pid="9" name="Team Developing">
    <vt:lpwstr/>
  </property>
  <property fmtid="{D5CDD505-2E9C-101B-9397-08002B2CF9AE}" pid="10" name="Organization">
    <vt:lpwstr/>
  </property>
  <property fmtid="{D5CDD505-2E9C-101B-9397-08002B2CF9AE}" pid="11" name="Layer">
    <vt:lpwstr/>
  </property>
  <property fmtid="{D5CDD505-2E9C-101B-9397-08002B2CF9AE}" pid="12" name="AuthorIds_UIVersion_4096">
    <vt:lpwstr>11</vt:lpwstr>
  </property>
</Properties>
</file>